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6080" windowHeight="13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Sheet1!$A$1:$M$69</definedName>
    <definedName name="_xlnm.Print_Titles" localSheetId="0">Sheet1!$A:$A,Sheet1!$6:$6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9" i="1" l="1"/>
  <c r="C50" i="1"/>
  <c r="D52" i="1"/>
  <c r="D53" i="1"/>
  <c r="C51" i="1"/>
  <c r="C49" i="1"/>
  <c r="B11" i="1"/>
  <c r="H52" i="1"/>
  <c r="F17" i="1"/>
  <c r="J17" i="1"/>
  <c r="L17" i="1"/>
  <c r="K29" i="1"/>
  <c r="L29" i="1"/>
  <c r="B14" i="1"/>
  <c r="B12" i="1"/>
  <c r="D43" i="1"/>
  <c r="H43" i="1"/>
  <c r="L43" i="1"/>
  <c r="G52" i="1"/>
  <c r="K52" i="1"/>
  <c r="G49" i="1"/>
  <c r="K49" i="1"/>
  <c r="G50" i="1"/>
  <c r="K50" i="1"/>
  <c r="G51" i="1"/>
  <c r="K51" i="1"/>
  <c r="K53" i="1"/>
  <c r="H49" i="1"/>
  <c r="L49" i="1"/>
  <c r="H50" i="1"/>
  <c r="L50" i="1"/>
  <c r="H51" i="1"/>
  <c r="L51" i="1"/>
  <c r="L52" i="1"/>
  <c r="L53" i="1"/>
  <c r="L47" i="1"/>
  <c r="H42" i="1"/>
  <c r="L42" i="1"/>
  <c r="H41" i="1"/>
  <c r="L41" i="1"/>
  <c r="L37" i="1"/>
  <c r="L54" i="1"/>
  <c r="L56" i="1"/>
  <c r="L58" i="1"/>
  <c r="F11" i="1"/>
  <c r="J11" i="1"/>
  <c r="L11" i="1"/>
  <c r="F12" i="1"/>
  <c r="J12" i="1"/>
  <c r="L12" i="1"/>
  <c r="B13" i="1"/>
  <c r="F13" i="1"/>
  <c r="J13" i="1"/>
  <c r="L13" i="1"/>
  <c r="F14" i="1"/>
  <c r="J14" i="1"/>
  <c r="L14" i="1"/>
  <c r="L15" i="1"/>
  <c r="L18" i="1"/>
  <c r="F20" i="1"/>
  <c r="J20" i="1"/>
  <c r="L20" i="1"/>
  <c r="L21" i="1"/>
  <c r="B23" i="1"/>
  <c r="F23" i="1"/>
  <c r="J23" i="1"/>
  <c r="L23" i="1"/>
  <c r="B24" i="1"/>
  <c r="F24" i="1"/>
  <c r="J24" i="1"/>
  <c r="L24" i="1"/>
  <c r="L25" i="1"/>
  <c r="L26" i="1"/>
  <c r="K28" i="1"/>
  <c r="L28" i="1"/>
  <c r="K30" i="1"/>
  <c r="L30" i="1"/>
  <c r="K31" i="1"/>
  <c r="L31" i="1"/>
  <c r="L32" i="1"/>
  <c r="L34" i="1"/>
  <c r="L60" i="1"/>
  <c r="K65" i="1"/>
  <c r="H17" i="1"/>
  <c r="H18" i="1"/>
  <c r="H11" i="1"/>
  <c r="H12" i="1"/>
  <c r="H13" i="1"/>
  <c r="H14" i="1"/>
  <c r="H15" i="1"/>
  <c r="H20" i="1"/>
  <c r="H21" i="1"/>
  <c r="H23" i="1"/>
  <c r="H24" i="1"/>
  <c r="H25" i="1"/>
  <c r="H26" i="1"/>
  <c r="G29" i="1"/>
  <c r="H29" i="1"/>
  <c r="G28" i="1"/>
  <c r="H28" i="1"/>
  <c r="G30" i="1"/>
  <c r="H30" i="1"/>
  <c r="G31" i="1"/>
  <c r="H31" i="1"/>
  <c r="H32" i="1"/>
  <c r="H34" i="1"/>
  <c r="H40" i="1"/>
  <c r="H37" i="1"/>
  <c r="G53" i="1"/>
  <c r="H53" i="1"/>
  <c r="H47" i="1"/>
  <c r="H54" i="1"/>
  <c r="H56" i="1"/>
  <c r="H58" i="1"/>
  <c r="H60" i="1"/>
  <c r="G65" i="1"/>
  <c r="D44" i="1"/>
  <c r="D45" i="1"/>
  <c r="D37" i="1"/>
  <c r="C53" i="1"/>
  <c r="D47" i="1"/>
  <c r="D54" i="1"/>
  <c r="D56" i="1"/>
  <c r="D58" i="1"/>
  <c r="D11" i="1"/>
  <c r="D12" i="1"/>
  <c r="D13" i="1"/>
  <c r="D14" i="1"/>
  <c r="D15" i="1"/>
  <c r="D17" i="1"/>
  <c r="D18" i="1"/>
  <c r="D20" i="1"/>
  <c r="D21" i="1"/>
  <c r="D23" i="1"/>
  <c r="D24" i="1"/>
  <c r="D25" i="1"/>
  <c r="D26" i="1"/>
  <c r="C28" i="1"/>
  <c r="D28" i="1"/>
  <c r="C29" i="1"/>
  <c r="D29" i="1"/>
  <c r="C30" i="1"/>
  <c r="D30" i="1"/>
  <c r="C31" i="1"/>
  <c r="D31" i="1"/>
  <c r="D32" i="1"/>
  <c r="D34" i="1"/>
  <c r="D60" i="1"/>
  <c r="C65" i="1"/>
  <c r="E7" i="2"/>
  <c r="E22" i="2"/>
  <c r="E37" i="2"/>
  <c r="F37" i="2"/>
  <c r="G7" i="2"/>
  <c r="G22" i="2"/>
  <c r="G37" i="2"/>
  <c r="H37" i="2"/>
  <c r="I7" i="2"/>
  <c r="I22" i="2"/>
  <c r="I37" i="2"/>
  <c r="J37" i="2"/>
  <c r="K37" i="2"/>
  <c r="M37" i="2"/>
  <c r="E8" i="2"/>
  <c r="E23" i="2"/>
  <c r="E38" i="2"/>
  <c r="F38" i="2"/>
  <c r="G8" i="2"/>
  <c r="G23" i="2"/>
  <c r="G38" i="2"/>
  <c r="H38" i="2"/>
  <c r="I8" i="2"/>
  <c r="I23" i="2"/>
  <c r="I38" i="2"/>
  <c r="J38" i="2"/>
  <c r="K38" i="2"/>
  <c r="M38" i="2"/>
  <c r="E9" i="2"/>
  <c r="E24" i="2"/>
  <c r="E39" i="2"/>
  <c r="F39" i="2"/>
  <c r="G9" i="2"/>
  <c r="G24" i="2"/>
  <c r="G39" i="2"/>
  <c r="H39" i="2"/>
  <c r="I9" i="2"/>
  <c r="I24" i="2"/>
  <c r="I39" i="2"/>
  <c r="J39" i="2"/>
  <c r="K39" i="2"/>
  <c r="M39" i="2"/>
  <c r="E10" i="2"/>
  <c r="E25" i="2"/>
  <c r="E40" i="2"/>
  <c r="F40" i="2"/>
  <c r="G10" i="2"/>
  <c r="G25" i="2"/>
  <c r="G40" i="2"/>
  <c r="H40" i="2"/>
  <c r="I10" i="2"/>
  <c r="I25" i="2"/>
  <c r="I40" i="2"/>
  <c r="J40" i="2"/>
  <c r="K40" i="2"/>
  <c r="M40" i="2"/>
  <c r="M44" i="2"/>
  <c r="F22" i="2"/>
  <c r="H22" i="2"/>
  <c r="J22" i="2"/>
  <c r="K22" i="2"/>
  <c r="M22" i="2"/>
  <c r="F23" i="2"/>
  <c r="H23" i="2"/>
  <c r="J23" i="2"/>
  <c r="K23" i="2"/>
  <c r="M23" i="2"/>
  <c r="F24" i="2"/>
  <c r="H24" i="2"/>
  <c r="J24" i="2"/>
  <c r="K24" i="2"/>
  <c r="M24" i="2"/>
  <c r="F25" i="2"/>
  <c r="H25" i="2"/>
  <c r="J25" i="2"/>
  <c r="K25" i="2"/>
  <c r="M25" i="2"/>
  <c r="M29" i="2"/>
  <c r="F7" i="2"/>
  <c r="H7" i="2"/>
  <c r="J7" i="2"/>
  <c r="K7" i="2"/>
  <c r="M7" i="2"/>
  <c r="F8" i="2"/>
  <c r="H8" i="2"/>
  <c r="J8" i="2"/>
  <c r="K8" i="2"/>
  <c r="M8" i="2"/>
  <c r="F9" i="2"/>
  <c r="H9" i="2"/>
  <c r="J9" i="2"/>
  <c r="K9" i="2"/>
  <c r="M9" i="2"/>
  <c r="F10" i="2"/>
  <c r="H10" i="2"/>
  <c r="J10" i="2"/>
  <c r="K10" i="2"/>
  <c r="M10" i="2"/>
  <c r="M14" i="2"/>
  <c r="D65" i="1"/>
  <c r="D66" i="1"/>
  <c r="D67" i="1"/>
  <c r="D69" i="1"/>
  <c r="H65" i="1"/>
  <c r="G66" i="1"/>
  <c r="H66" i="1"/>
  <c r="H67" i="1"/>
  <c r="H69" i="1"/>
  <c r="L65" i="1"/>
  <c r="K66" i="1"/>
  <c r="L66" i="1"/>
  <c r="L67" i="1"/>
  <c r="L69" i="1"/>
  <c r="M67" i="1"/>
  <c r="M60" i="1"/>
  <c r="M58" i="1"/>
  <c r="M56" i="1"/>
  <c r="M54" i="1"/>
  <c r="M47" i="1"/>
  <c r="M37" i="1"/>
  <c r="M34" i="1"/>
  <c r="M32" i="1"/>
  <c r="M31" i="1"/>
  <c r="M30" i="1"/>
  <c r="M29" i="1"/>
  <c r="M28" i="1"/>
  <c r="M26" i="1"/>
  <c r="K15" i="1"/>
  <c r="K18" i="1"/>
  <c r="K21" i="1"/>
  <c r="K25" i="1"/>
  <c r="K26" i="1"/>
  <c r="G15" i="1"/>
  <c r="G18" i="1"/>
  <c r="G21" i="1"/>
  <c r="G25" i="1"/>
  <c r="G26" i="1"/>
  <c r="C15" i="1"/>
  <c r="C18" i="1"/>
  <c r="C21" i="1"/>
  <c r="C25" i="1"/>
  <c r="C26" i="1"/>
  <c r="M25" i="1"/>
  <c r="M24" i="1"/>
  <c r="M23" i="1"/>
  <c r="M21" i="1"/>
  <c r="M20" i="1"/>
  <c r="M18" i="1"/>
  <c r="M17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<sst xmlns="http://schemas.openxmlformats.org/spreadsheetml/2006/main" count="194" uniqueCount="102">
  <si>
    <t>Title</t>
  </si>
  <si>
    <t>Organization</t>
  </si>
  <si>
    <t>The University of Arizona</t>
  </si>
  <si>
    <t>Sponsor/Program</t>
  </si>
  <si>
    <t>NSF Astronomy &amp; Astrophysics Research Grants (AAG), solicitation 12-589</t>
  </si>
  <si>
    <t>Performance Period</t>
  </si>
  <si>
    <t>YEAR 1</t>
  </si>
  <si>
    <t>YEAR 2</t>
  </si>
  <si>
    <t>YEAR 3</t>
  </si>
  <si>
    <t>Year 1</t>
  </si>
  <si>
    <t>Labor</t>
  </si>
  <si>
    <t>TOTAL</t>
  </si>
  <si>
    <t>Year 2</t>
  </si>
  <si>
    <t>Year 3</t>
  </si>
  <si>
    <t>3 YEAR</t>
  </si>
  <si>
    <t>Rate</t>
  </si>
  <si>
    <t>Hrs.</t>
  </si>
  <si>
    <t>TOTALS</t>
  </si>
  <si>
    <t>PERSONNEL</t>
  </si>
  <si>
    <t>Appointed Personnel</t>
  </si>
  <si>
    <t>Walker, Christopher - Co-I</t>
  </si>
  <si>
    <t>Peters, William</t>
  </si>
  <si>
    <t>Duffy, Brian</t>
  </si>
  <si>
    <t>Appointed Personnel Subtotal</t>
  </si>
  <si>
    <t>On Call Staff Subtotal</t>
  </si>
  <si>
    <t>Jack Cochran</t>
  </si>
  <si>
    <t>Undergraduate Student</t>
  </si>
  <si>
    <t>Undergraduate Student Subtotal</t>
  </si>
  <si>
    <t>Graduate Students</t>
  </si>
  <si>
    <t>Graduate Research Assistant - AY (9-months) @ 50% FTE</t>
  </si>
  <si>
    <t>Graduate Research Assistant - summer (3-months) @ full-time</t>
  </si>
  <si>
    <t>Graduate Students Subtotal</t>
  </si>
  <si>
    <t>Labor Subtotal</t>
  </si>
  <si>
    <t>Fringe Benefits Subtotal</t>
  </si>
  <si>
    <t>Personnel Labor + ERE Totals</t>
  </si>
  <si>
    <t>OTHER DIRECT COSTS</t>
  </si>
  <si>
    <t>OPERATIONS</t>
  </si>
  <si>
    <t>New IF processor LO units for dual-line mode (2 x $1000)</t>
  </si>
  <si>
    <t>-</t>
  </si>
  <si>
    <t>Communications (postage/Fedex, phone/fax, copying/printing) (obj code 5560)</t>
  </si>
  <si>
    <t>TRAVEL</t>
  </si>
  <si>
    <t>Total per trip</t>
  </si>
  <si>
    <t>CAPITAL EQUIPMENT</t>
  </si>
  <si>
    <t>SUBCONTRACTS</t>
  </si>
  <si>
    <t>Total Other Direct Costs</t>
  </si>
  <si>
    <t>TOTAL DIRECT COSTS</t>
  </si>
  <si>
    <r>
      <t xml:space="preserve">INDIRECT COSTS - </t>
    </r>
    <r>
      <rPr>
        <b/>
        <sz val="8"/>
        <color rgb="FF000080"/>
        <rFont val="Tahoma"/>
        <family val="2"/>
        <charset val="1"/>
      </rPr>
      <t>51.5%, effective 7/1/10</t>
    </r>
  </si>
  <si>
    <t>MTDC Base</t>
  </si>
  <si>
    <t>IDC</t>
  </si>
  <si>
    <t>Base (on salaries, operations, travel)</t>
  </si>
  <si>
    <r>
      <t xml:space="preserve">Base (on first $25K of </t>
    </r>
    <r>
      <rPr>
        <b/>
        <sz val="8"/>
        <color rgb="FF000080"/>
        <rFont val="Tahoma"/>
        <family val="2"/>
        <charset val="1"/>
      </rPr>
      <t>EACH</t>
    </r>
    <r>
      <rPr>
        <sz val="8"/>
        <color rgb="FF000080"/>
        <rFont val="Tahoma"/>
        <family val="2"/>
        <charset val="1"/>
      </rPr>
      <t xml:space="preserve"> subcontract)</t>
    </r>
  </si>
  <si>
    <t>Total Indirect Costs</t>
  </si>
  <si>
    <t>TOTAL PROJECT COSTS</t>
  </si>
  <si>
    <t>Airfare</t>
  </si>
  <si>
    <t>Per Diem</t>
  </si>
  <si>
    <t>Car Rental</t>
  </si>
  <si>
    <t>Destination</t>
  </si>
  <si>
    <t>#</t>
  </si>
  <si>
    <t>#</t>
  </si>
  <si>
    <t>$</t>
  </si>
  <si>
    <t/>
  </si>
  <si>
    <t>Grand</t>
  </si>
  <si>
    <t>People</t>
  </si>
  <si>
    <t>Days</t>
  </si>
  <si>
    <t>Each</t>
  </si>
  <si>
    <t>Total</t>
  </si>
  <si>
    <t>Each *</t>
  </si>
  <si>
    <t>Per Day  *</t>
  </si>
  <si>
    <t>Subtotal</t>
  </si>
  <si>
    <t>Trips</t>
  </si>
  <si>
    <t>Domestic - West</t>
  </si>
  <si>
    <t>Domestic - East</t>
  </si>
  <si>
    <t>Domestic - Mid</t>
  </si>
  <si>
    <t>International</t>
  </si>
  <si>
    <t>9/1/2014 - 8/31/2017</t>
  </si>
  <si>
    <t>Graduate Students @ 59.5% (50.0% IDC exempt)</t>
  </si>
  <si>
    <t>Undergraduate Student @ 3.5%</t>
  </si>
  <si>
    <t>Faculty and Appointed Personnel @ 30.0%</t>
  </si>
  <si>
    <t>Rental car for MGIO (14 days, $40/day)</t>
  </si>
  <si>
    <t>Conference Registration (1 student/year)</t>
  </si>
  <si>
    <t>Per diem ($49/day x 5 days)</t>
  </si>
  <si>
    <t>A Submillimeter Spectroscopic Galactic Plane Survey using Supercam at the HHT</t>
  </si>
  <si>
    <r>
      <t xml:space="preserve">MTDC BASE = Total Direct Costs (TDC) less capital equipment, less Tuition Remission (50.0% of Graduate Student fringe), and on first $25K of </t>
    </r>
    <r>
      <rPr>
        <b/>
        <sz val="6.5"/>
        <color rgb="FF000080"/>
        <rFont val="Tahoma"/>
        <family val="2"/>
        <charset val="1"/>
      </rPr>
      <t>EACH</t>
    </r>
    <r>
      <rPr>
        <sz val="6.5"/>
        <color rgb="FF000080"/>
        <rFont val="Tahoma"/>
        <family val="2"/>
        <charset val="1"/>
      </rPr>
      <t xml:space="preserve"> subcontract</t>
    </r>
  </si>
  <si>
    <r>
      <t xml:space="preserve">FRINGE BENEFITS - </t>
    </r>
    <r>
      <rPr>
        <b/>
        <sz val="7"/>
        <color rgb="FF000080"/>
        <rFont val="Tahoma"/>
        <family val="2"/>
        <charset val="1"/>
      </rPr>
      <t>Rates effective 7/1/13 and beyond</t>
    </r>
  </si>
  <si>
    <t>Replacement disks for survey products</t>
  </si>
  <si>
    <t>PI, Co-PI</t>
  </si>
  <si>
    <t>Craig A. Kulesa, Christopher K. Walker</t>
  </si>
  <si>
    <t xml:space="preserve">Instrument transport and installation at MGIO </t>
  </si>
  <si>
    <t>Kulesa, Craig -  PI</t>
  </si>
  <si>
    <t>Undergrad (summer)</t>
  </si>
  <si>
    <t>Refurbishment, Sumitomo cold head</t>
  </si>
  <si>
    <t>Refurbishment Parts, CTI-350 cold head</t>
  </si>
  <si>
    <t>IF processor filter set for dual-line mode</t>
  </si>
  <si>
    <t>Publication costs charges (3 papers x 8 pages x $110 in each year)</t>
  </si>
  <si>
    <t>On Call/Temporary Staff Subtotal</t>
  </si>
  <si>
    <t>On Call/Temporary Staff @ 10%</t>
  </si>
  <si>
    <t>AAS Conference</t>
  </si>
  <si>
    <t>MGIO</t>
  </si>
  <si>
    <t>Airfare ($400 roundtrip)</t>
  </si>
  <si>
    <t>1 domestic conference (AAS) for 1 student/year</t>
  </si>
  <si>
    <t>Minor electronics repairs, materials and supplies (obj code 5290)</t>
  </si>
  <si>
    <t>Lodging ($100/night x 4 nights)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</si>
</sst>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\$* #,##0.00_);_(\$* \(#,##0.00\);_(\$* \-??_);_(@_)"/>
    <numFmt numFmtId="165" formatCode="0.00_);\(0.00\)"/>
    <numFmt numFmtId="166" formatCode="_(\$* #,##0_);_(\$* \(#,##0\);_(\$* \-_);_(@_)"/>
    <numFmt numFmtId="167" formatCode="_(* #,##0_);_(* \(#,##0\);_(* \-_);_(@_)"/>
    <numFmt numFmtId="168" formatCode="_(* #,##0.00_);_(* \(#,##0.00\);_(* \-??_);_(@_)"/>
  </numFmts>
  <fonts count="20" x14ac:knownFonts="1">
    <font>
      <sz val="10"/>
      <name val="Arial"/>
      <family val="2"/>
      <charset val="1"/>
    </font>
    <font>
      <sz val="10"/>
      <color rgb="FF000080"/>
      <name val="Tahoma"/>
      <family val="2"/>
      <charset val="1"/>
    </font>
    <font>
      <b/>
      <sz val="8"/>
      <color rgb="FF000080"/>
      <name val="Tahoma"/>
      <family val="2"/>
      <charset val="1"/>
    </font>
    <font>
      <sz val="8"/>
      <color rgb="FF000080"/>
      <name val="Tahoma"/>
      <family val="2"/>
      <charset val="1"/>
    </font>
    <font>
      <i/>
      <sz val="8"/>
      <color rgb="FF000080"/>
      <name val="Tahoma"/>
      <family val="2"/>
      <charset val="1"/>
    </font>
    <font>
      <b/>
      <sz val="10"/>
      <color rgb="FF000080"/>
      <name val="Tahoma"/>
      <family val="2"/>
      <charset val="1"/>
    </font>
    <font>
      <b/>
      <sz val="7"/>
      <color rgb="FF000080"/>
      <name val="Tahoma"/>
      <family val="2"/>
      <charset val="1"/>
    </font>
    <font>
      <b/>
      <i/>
      <sz val="8"/>
      <color rgb="FF000080"/>
      <name val="Tahoma"/>
      <family val="2"/>
      <charset val="1"/>
    </font>
    <font>
      <b/>
      <sz val="9"/>
      <color rgb="FF000080"/>
      <name val="Tahoma"/>
      <family val="2"/>
      <charset val="1"/>
    </font>
    <font>
      <i/>
      <sz val="10"/>
      <color rgb="FF000080"/>
      <name val="Tahoma"/>
      <family val="2"/>
      <charset val="1"/>
    </font>
    <font>
      <i/>
      <sz val="9"/>
      <color rgb="FF000080"/>
      <name val="Tahoma"/>
      <family val="2"/>
      <charset val="1"/>
    </font>
    <font>
      <sz val="9"/>
      <color rgb="FF000080"/>
      <name val="Tahoma"/>
      <family val="2"/>
      <charset val="1"/>
    </font>
    <font>
      <sz val="8"/>
      <color rgb="FF333399"/>
      <name val="Tahoma"/>
      <family val="2"/>
      <charset val="1"/>
    </font>
    <font>
      <sz val="6.5"/>
      <color rgb="FF000080"/>
      <name val="Tahoma"/>
      <family val="2"/>
      <charset val="1"/>
    </font>
    <font>
      <b/>
      <sz val="6.5"/>
      <color rgb="FF000080"/>
      <name val="Tahoma"/>
      <family val="2"/>
      <charset val="1"/>
    </font>
    <font>
      <sz val="7"/>
      <color rgb="FF000080"/>
      <name val="Tahoma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0" fontId="1" fillId="0" borderId="0" xfId="0" applyFont="1"/>
    <xf numFmtId="166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/>
    <xf numFmtId="166" fontId="1" fillId="2" borderId="1" xfId="0" applyNumberFormat="1" applyFont="1" applyFill="1" applyBorder="1"/>
    <xf numFmtId="0" fontId="7" fillId="0" borderId="0" xfId="0" applyFont="1"/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Border="1"/>
    <xf numFmtId="168" fontId="1" fillId="0" borderId="0" xfId="0" applyNumberFormat="1" applyFont="1"/>
    <xf numFmtId="166" fontId="1" fillId="0" borderId="0" xfId="0" applyNumberFormat="1" applyFont="1"/>
    <xf numFmtId="0" fontId="3" fillId="0" borderId="0" xfId="0" applyFont="1" applyBorder="1"/>
    <xf numFmtId="164" fontId="3" fillId="0" borderId="0" xfId="0" applyNumberFormat="1" applyFont="1"/>
    <xf numFmtId="167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Border="1"/>
    <xf numFmtId="166" fontId="3" fillId="0" borderId="0" xfId="0" applyNumberFormat="1" applyFont="1"/>
    <xf numFmtId="0" fontId="10" fillId="0" borderId="0" xfId="0" applyFont="1"/>
    <xf numFmtId="0" fontId="10" fillId="0" borderId="0" xfId="0" applyFont="1" applyBorder="1" applyAlignment="1">
      <alignment horizontal="right"/>
    </xf>
    <xf numFmtId="164" fontId="10" fillId="0" borderId="0" xfId="0" applyNumberFormat="1" applyFont="1"/>
    <xf numFmtId="167" fontId="10" fillId="0" borderId="0" xfId="0" applyNumberFormat="1" applyFont="1"/>
    <xf numFmtId="166" fontId="10" fillId="0" borderId="0" xfId="0" applyNumberFormat="1" applyFont="1" applyAlignment="1">
      <alignment horizontal="right"/>
    </xf>
    <xf numFmtId="166" fontId="10" fillId="0" borderId="0" xfId="0" applyNumberFormat="1" applyFont="1" applyBorder="1"/>
    <xf numFmtId="166" fontId="10" fillId="0" borderId="0" xfId="0" applyNumberFormat="1" applyFont="1"/>
    <xf numFmtId="0" fontId="4" fillId="0" borderId="0" xfId="0" applyFont="1" applyBorder="1"/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6" fontId="10" fillId="0" borderId="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/>
    </xf>
    <xf numFmtId="0" fontId="9" fillId="0" borderId="0" xfId="0" applyFont="1"/>
    <xf numFmtId="165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6" fontId="3" fillId="0" borderId="0" xfId="0" applyNumberFormat="1" applyFont="1" applyBorder="1" applyAlignment="1">
      <alignment horizontal="right"/>
    </xf>
    <xf numFmtId="0" fontId="11" fillId="0" borderId="0" xfId="0" applyFont="1" applyBorder="1"/>
    <xf numFmtId="165" fontId="1" fillId="0" borderId="0" xfId="0" applyNumberFormat="1" applyFont="1"/>
    <xf numFmtId="2" fontId="1" fillId="0" borderId="0" xfId="0" applyNumberFormat="1" applyFont="1"/>
    <xf numFmtId="0" fontId="11" fillId="0" borderId="0" xfId="0" applyFont="1"/>
    <xf numFmtId="165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0" fontId="4" fillId="0" borderId="0" xfId="0" applyFont="1" applyBorder="1" applyAlignment="1">
      <alignment wrapText="1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/>
    <xf numFmtId="0" fontId="12" fillId="0" borderId="0" xfId="0" applyFont="1"/>
    <xf numFmtId="165" fontId="3" fillId="0" borderId="0" xfId="0" applyNumberFormat="1" applyFont="1" applyBorder="1"/>
    <xf numFmtId="2" fontId="3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166" fontId="1" fillId="0" borderId="0" xfId="0" applyNumberFormat="1" applyFont="1" applyBorder="1" applyAlignment="1">
      <alignment horizontal="right"/>
    </xf>
    <xf numFmtId="0" fontId="13" fillId="0" borderId="0" xfId="0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/>
    <xf numFmtId="2" fontId="5" fillId="0" borderId="0" xfId="0" applyNumberFormat="1" applyFont="1" applyBorder="1"/>
    <xf numFmtId="0" fontId="5" fillId="0" borderId="0" xfId="0" applyFont="1" applyBorder="1"/>
    <xf numFmtId="16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6" fillId="0" borderId="0" xfId="0" applyNumberFormat="1" applyFont="1" applyBorder="1"/>
    <xf numFmtId="166" fontId="15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Protection="1"/>
    <xf numFmtId="0" fontId="17" fillId="0" borderId="2" xfId="0" applyFont="1" applyBorder="1" applyProtection="1"/>
    <xf numFmtId="0" fontId="17" fillId="0" borderId="3" xfId="0" applyFont="1" applyBorder="1" applyProtection="1"/>
    <xf numFmtId="0" fontId="18" fillId="0" borderId="3" xfId="0" applyFont="1" applyBorder="1" applyAlignment="1" applyProtection="1"/>
    <xf numFmtId="0" fontId="18" fillId="0" borderId="4" xfId="0" applyFont="1" applyBorder="1" applyProtection="1"/>
    <xf numFmtId="0" fontId="17" fillId="0" borderId="5" xfId="0" applyFont="1" applyBorder="1" applyProtection="1"/>
    <xf numFmtId="0" fontId="17" fillId="0" borderId="0" xfId="0" applyFont="1" applyBorder="1" applyProtection="1"/>
    <xf numFmtId="0" fontId="18" fillId="0" borderId="6" xfId="0" applyFont="1" applyBorder="1" applyAlignment="1" applyProtection="1"/>
    <xf numFmtId="0" fontId="18" fillId="0" borderId="7" xfId="0" applyFont="1" applyBorder="1" applyAlignment="1" applyProtection="1"/>
    <xf numFmtId="0" fontId="18" fillId="0" borderId="8" xfId="0" applyFont="1" applyBorder="1" applyAlignment="1" applyProtection="1"/>
    <xf numFmtId="0" fontId="18" fillId="0" borderId="9" xfId="0" applyFont="1" applyBorder="1" applyAlignment="1" applyProtection="1"/>
    <xf numFmtId="0" fontId="17" fillId="0" borderId="6" xfId="0" applyFont="1" applyBorder="1" applyProtection="1"/>
    <xf numFmtId="0" fontId="17" fillId="0" borderId="10" xfId="0" applyFont="1" applyBorder="1" applyProtection="1"/>
    <xf numFmtId="0" fontId="17" fillId="0" borderId="8" xfId="0" applyFont="1" applyBorder="1" applyProtection="1"/>
    <xf numFmtId="0" fontId="17" fillId="0" borderId="11" xfId="0" applyFont="1" applyBorder="1" applyProtection="1"/>
    <xf numFmtId="0" fontId="17" fillId="0" borderId="0" xfId="0" applyFont="1" applyAlignment="1" applyProtection="1"/>
    <xf numFmtId="0" fontId="17" fillId="0" borderId="6" xfId="0" applyFont="1" applyBorder="1" applyAlignment="1" applyProtection="1"/>
    <xf numFmtId="0" fontId="17" fillId="0" borderId="7" xfId="0" applyFont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0" fontId="17" fillId="0" borderId="0" xfId="0" applyFont="1" applyBorder="1" applyAlignment="1" applyProtection="1"/>
    <xf numFmtId="0" fontId="17" fillId="0" borderId="7" xfId="0" applyFont="1" applyBorder="1" applyProtection="1"/>
    <xf numFmtId="0" fontId="17" fillId="0" borderId="12" xfId="0" applyFont="1" applyBorder="1" applyProtection="1"/>
    <xf numFmtId="0" fontId="17" fillId="0" borderId="13" xfId="0" applyFont="1" applyBorder="1" applyProtection="1"/>
    <xf numFmtId="0" fontId="17" fillId="0" borderId="13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wrapText="1"/>
    </xf>
    <xf numFmtId="0" fontId="8" fillId="2" borderId="15" xfId="0" applyFont="1" applyFill="1" applyBorder="1"/>
    <xf numFmtId="0" fontId="9" fillId="2" borderId="15" xfId="0" applyFont="1" applyFill="1" applyBorder="1"/>
    <xf numFmtId="0" fontId="9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left"/>
    </xf>
    <xf numFmtId="167" fontId="8" fillId="2" borderId="17" xfId="0" applyNumberFormat="1" applyFont="1" applyFill="1" applyBorder="1" applyAlignment="1">
      <alignment horizontal="left"/>
    </xf>
    <xf numFmtId="166" fontId="8" fillId="2" borderId="17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left"/>
    </xf>
    <xf numFmtId="166" fontId="8" fillId="2" borderId="17" xfId="0" applyNumberFormat="1" applyFont="1" applyFill="1" applyBorder="1" applyAlignment="1">
      <alignment horizontal="left"/>
    </xf>
    <xf numFmtId="166" fontId="8" fillId="2" borderId="18" xfId="0" applyNumberFormat="1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right"/>
    </xf>
    <xf numFmtId="164" fontId="8" fillId="0" borderId="17" xfId="0" applyNumberFormat="1" applyFont="1" applyBorder="1" applyAlignment="1">
      <alignment horizontal="left"/>
    </xf>
    <xf numFmtId="166" fontId="8" fillId="0" borderId="17" xfId="0" applyNumberFormat="1" applyFont="1" applyBorder="1" applyAlignment="1">
      <alignment horizontal="left"/>
    </xf>
    <xf numFmtId="166" fontId="8" fillId="0" borderId="17" xfId="0" applyNumberFormat="1" applyFont="1" applyBorder="1" applyAlignment="1">
      <alignment horizontal="right"/>
    </xf>
    <xf numFmtId="166" fontId="8" fillId="0" borderId="18" xfId="0" applyNumberFormat="1" applyFont="1" applyBorder="1"/>
    <xf numFmtId="0" fontId="8" fillId="0" borderId="16" xfId="0" applyFont="1" applyBorder="1"/>
    <xf numFmtId="164" fontId="8" fillId="0" borderId="17" xfId="0" applyNumberFormat="1" applyFont="1" applyBorder="1"/>
    <xf numFmtId="165" fontId="8" fillId="0" borderId="17" xfId="0" applyNumberFormat="1" applyFont="1" applyBorder="1"/>
    <xf numFmtId="166" fontId="8" fillId="0" borderId="17" xfId="0" applyNumberFormat="1" applyFont="1" applyBorder="1"/>
    <xf numFmtId="2" fontId="8" fillId="0" borderId="17" xfId="0" applyNumberFormat="1" applyFont="1" applyBorder="1"/>
    <xf numFmtId="168" fontId="8" fillId="0" borderId="17" xfId="0" applyNumberFormat="1" applyFont="1" applyBorder="1"/>
    <xf numFmtId="0" fontId="8" fillId="0" borderId="19" xfId="0" applyFont="1" applyBorder="1"/>
    <xf numFmtId="0" fontId="8" fillId="2" borderId="16" xfId="0" applyFont="1" applyFill="1" applyBorder="1"/>
    <xf numFmtId="164" fontId="8" fillId="2" borderId="17" xfId="0" applyNumberFormat="1" applyFont="1" applyFill="1" applyBorder="1"/>
    <xf numFmtId="165" fontId="8" fillId="2" borderId="17" xfId="0" applyNumberFormat="1" applyFont="1" applyFill="1" applyBorder="1"/>
    <xf numFmtId="166" fontId="8" fillId="2" borderId="17" xfId="0" applyNumberFormat="1" applyFont="1" applyFill="1" applyBorder="1"/>
    <xf numFmtId="2" fontId="8" fillId="2" borderId="17" xfId="0" applyNumberFormat="1" applyFont="1" applyFill="1" applyBorder="1"/>
    <xf numFmtId="166" fontId="8" fillId="2" borderId="18" xfId="0" applyNumberFormat="1" applyFont="1" applyFill="1" applyBorder="1"/>
    <xf numFmtId="0" fontId="8" fillId="2" borderId="16" xfId="0" applyFont="1" applyFill="1" applyBorder="1" applyAlignment="1">
      <alignment horizontal="left"/>
    </xf>
    <xf numFmtId="166" fontId="11" fillId="2" borderId="17" xfId="0" applyNumberFormat="1" applyFont="1" applyFill="1" applyBorder="1"/>
    <xf numFmtId="165" fontId="11" fillId="2" borderId="17" xfId="0" applyNumberFormat="1" applyFont="1" applyFill="1" applyBorder="1"/>
    <xf numFmtId="2" fontId="11" fillId="2" borderId="17" xfId="0" applyNumberFormat="1" applyFont="1" applyFill="1" applyBorder="1"/>
    <xf numFmtId="0" fontId="5" fillId="2" borderId="16" xfId="0" applyFont="1" applyFill="1" applyBorder="1"/>
    <xf numFmtId="165" fontId="3" fillId="2" borderId="17" xfId="0" applyNumberFormat="1" applyFont="1" applyFill="1" applyBorder="1"/>
    <xf numFmtId="165" fontId="5" fillId="2" borderId="17" xfId="0" applyNumberFormat="1" applyFont="1" applyFill="1" applyBorder="1"/>
    <xf numFmtId="166" fontId="5" fillId="2" borderId="17" xfId="0" applyNumberFormat="1" applyFont="1" applyFill="1" applyBorder="1" applyAlignment="1">
      <alignment horizontal="right"/>
    </xf>
    <xf numFmtId="166" fontId="5" fillId="2" borderId="17" xfId="0" applyNumberFormat="1" applyFont="1" applyFill="1" applyBorder="1"/>
    <xf numFmtId="166" fontId="5" fillId="2" borderId="18" xfId="0" applyNumberFormat="1" applyFont="1" applyFill="1" applyBorder="1"/>
    <xf numFmtId="166" fontId="3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K69"/>
  <sheetViews>
    <sheetView tabSelected="1" topLeftCell="A32" workbookViewId="0">
      <selection activeCell="M70" sqref="M70"/>
    </sheetView>
  </sheetViews>
  <sheetFormatPr baseColWidth="10" defaultColWidth="11.5" defaultRowHeight="13" x14ac:dyDescent="0"/>
  <cols>
    <col min="1" max="1" width="41.33203125" style="1" customWidth="1"/>
    <col min="2" max="2" width="11.5" style="2"/>
    <col min="3" max="3" width="11.5" style="3"/>
    <col min="4" max="4" width="11.5" style="4"/>
    <col min="5" max="6" width="11.5" style="5"/>
    <col min="7" max="7" width="11.5" style="6"/>
    <col min="8" max="13" width="11.5" style="5"/>
    <col min="14" max="1025" width="11.5" style="1"/>
  </cols>
  <sheetData>
    <row r="1" spans="1:15" ht="13" customHeight="1">
      <c r="A1" s="7" t="s">
        <v>0</v>
      </c>
      <c r="B1" s="8" t="s">
        <v>81</v>
      </c>
    </row>
    <row r="2" spans="1:15" ht="13" customHeight="1">
      <c r="A2" s="7" t="s">
        <v>1</v>
      </c>
      <c r="B2" s="9" t="s">
        <v>2</v>
      </c>
    </row>
    <row r="3" spans="1:15" ht="13" customHeight="1">
      <c r="A3" s="7" t="s">
        <v>85</v>
      </c>
      <c r="B3" s="9" t="s">
        <v>86</v>
      </c>
    </row>
    <row r="4" spans="1:15" ht="13" customHeight="1">
      <c r="A4" s="7" t="s">
        <v>3</v>
      </c>
      <c r="B4" s="9" t="s">
        <v>4</v>
      </c>
    </row>
    <row r="5" spans="1:15" ht="13" customHeight="1">
      <c r="A5" s="7" t="s">
        <v>5</v>
      </c>
      <c r="B5" s="9" t="s">
        <v>74</v>
      </c>
    </row>
    <row r="6" spans="1:15" s="10" customFormat="1" ht="13" customHeight="1">
      <c r="B6" s="11"/>
      <c r="C6" s="12" t="s">
        <v>6</v>
      </c>
      <c r="D6" s="13"/>
      <c r="E6" s="14"/>
      <c r="F6" s="15"/>
      <c r="G6" s="11" t="s">
        <v>7</v>
      </c>
      <c r="H6" s="13"/>
      <c r="I6" s="14"/>
      <c r="J6" s="15"/>
      <c r="K6" s="11" t="s">
        <v>8</v>
      </c>
      <c r="L6" s="13"/>
      <c r="M6" s="14"/>
    </row>
    <row r="7" spans="1:15" s="24" customFormat="1" ht="13" customHeight="1">
      <c r="A7" s="16"/>
      <c r="B7" s="17" t="s">
        <v>9</v>
      </c>
      <c r="C7" s="18" t="s">
        <v>10</v>
      </c>
      <c r="D7" s="19" t="s">
        <v>11</v>
      </c>
      <c r="E7" s="20"/>
      <c r="F7" s="21" t="s">
        <v>12</v>
      </c>
      <c r="G7" s="22" t="s">
        <v>10</v>
      </c>
      <c r="H7" s="21" t="s">
        <v>11</v>
      </c>
      <c r="I7" s="21"/>
      <c r="J7" s="21" t="s">
        <v>13</v>
      </c>
      <c r="K7" s="21" t="s">
        <v>10</v>
      </c>
      <c r="L7" s="21" t="s">
        <v>11</v>
      </c>
      <c r="M7" s="23" t="s">
        <v>14</v>
      </c>
      <c r="N7" s="10"/>
    </row>
    <row r="8" spans="1:15" s="10" customFormat="1" ht="14" customHeight="1" thickBot="1">
      <c r="A8" s="25"/>
      <c r="B8" s="17" t="s">
        <v>15</v>
      </c>
      <c r="C8" s="18" t="s">
        <v>16</v>
      </c>
      <c r="D8" s="19" t="s">
        <v>6</v>
      </c>
      <c r="E8" s="20"/>
      <c r="F8" s="21" t="s">
        <v>15</v>
      </c>
      <c r="G8" s="22" t="s">
        <v>16</v>
      </c>
      <c r="H8" s="21" t="s">
        <v>7</v>
      </c>
      <c r="I8" s="21"/>
      <c r="J8" s="21" t="s">
        <v>15</v>
      </c>
      <c r="K8" s="21" t="s">
        <v>16</v>
      </c>
      <c r="L8" s="21" t="s">
        <v>8</v>
      </c>
      <c r="M8" s="23" t="s">
        <v>17</v>
      </c>
    </row>
    <row r="9" spans="1:15" s="10" customFormat="1" ht="14" customHeight="1" thickBot="1">
      <c r="A9" s="123" t="s">
        <v>18</v>
      </c>
      <c r="B9" s="26"/>
      <c r="C9" s="27"/>
      <c r="D9" s="28"/>
      <c r="E9" s="29"/>
      <c r="F9" s="26"/>
      <c r="G9" s="30"/>
      <c r="H9" s="31"/>
      <c r="I9" s="31"/>
      <c r="J9" s="26"/>
      <c r="K9" s="30"/>
      <c r="L9" s="31"/>
      <c r="M9" s="31"/>
    </row>
    <row r="10" spans="1:15" s="10" customFormat="1" ht="14" customHeight="1" thickBot="1">
      <c r="A10" s="124" t="s">
        <v>19</v>
      </c>
      <c r="B10" s="26"/>
      <c r="C10" s="27"/>
      <c r="D10" s="28"/>
      <c r="E10" s="29"/>
      <c r="F10" s="26"/>
      <c r="G10" s="30"/>
      <c r="H10" s="31"/>
      <c r="I10" s="31"/>
      <c r="J10" s="26"/>
      <c r="K10" s="30"/>
      <c r="L10" s="31"/>
      <c r="M10" s="31"/>
    </row>
    <row r="11" spans="1:15" s="24" customFormat="1" ht="13.25" customHeight="1">
      <c r="A11" s="32" t="s">
        <v>88</v>
      </c>
      <c r="B11" s="33">
        <f>ROUND(58131/2088,2)</f>
        <v>27.84</v>
      </c>
      <c r="C11" s="34">
        <v>80</v>
      </c>
      <c r="D11" s="35">
        <f>MMULT(B11,C11)</f>
        <v>2227.1999999999998</v>
      </c>
      <c r="E11" s="36"/>
      <c r="F11" s="33">
        <f>B11*1.033</f>
        <v>28.758719999999997</v>
      </c>
      <c r="G11" s="34">
        <v>80</v>
      </c>
      <c r="H11" s="37">
        <f>MMULT(F11,G11)</f>
        <v>2300.6975999999995</v>
      </c>
      <c r="I11" s="37"/>
      <c r="J11" s="33">
        <f>F11*1.033</f>
        <v>29.707757759999993</v>
      </c>
      <c r="K11" s="34">
        <v>80</v>
      </c>
      <c r="L11" s="37">
        <f>MMULT(J11,K11)</f>
        <v>2376.6206207999994</v>
      </c>
      <c r="M11" s="37">
        <f>D11+H11+L11</f>
        <v>6904.5182207999987</v>
      </c>
      <c r="N11" s="37"/>
      <c r="O11" s="37"/>
    </row>
    <row r="12" spans="1:15" s="24" customFormat="1" ht="13" customHeight="1">
      <c r="A12" s="32" t="s">
        <v>20</v>
      </c>
      <c r="B12" s="33">
        <f>ROUND(92582*0.00072,2)</f>
        <v>66.66</v>
      </c>
      <c r="C12" s="34">
        <v>80</v>
      </c>
      <c r="D12" s="35">
        <f>MMULT(B12,C12)</f>
        <v>5332.7999999999993</v>
      </c>
      <c r="E12" s="36"/>
      <c r="F12" s="33">
        <f>B12*1.033</f>
        <v>68.859779999999986</v>
      </c>
      <c r="G12" s="34">
        <v>80</v>
      </c>
      <c r="H12" s="37">
        <f>MMULT(F12,G12)</f>
        <v>5508.7823999999991</v>
      </c>
      <c r="I12" s="37"/>
      <c r="J12" s="33">
        <f>F12*1.033</f>
        <v>71.132152739999981</v>
      </c>
      <c r="K12" s="34">
        <v>80</v>
      </c>
      <c r="L12" s="37">
        <f>MMULT(J12,K12)</f>
        <v>5690.5722191999985</v>
      </c>
      <c r="M12" s="37">
        <f>D12+H12+L12</f>
        <v>16532.154619199999</v>
      </c>
      <c r="N12" s="10"/>
    </row>
    <row r="13" spans="1:15" s="38" customFormat="1" ht="12" customHeight="1">
      <c r="A13" s="32" t="s">
        <v>21</v>
      </c>
      <c r="B13" s="33">
        <f>ROUND(74517/2088,2)</f>
        <v>35.69</v>
      </c>
      <c r="C13" s="34">
        <v>80</v>
      </c>
      <c r="D13" s="35">
        <f>MMULT(B13,C13)</f>
        <v>2855.2</v>
      </c>
      <c r="E13" s="36"/>
      <c r="F13" s="33">
        <f>B13*1.033</f>
        <v>36.867769999999993</v>
      </c>
      <c r="G13" s="34">
        <v>80</v>
      </c>
      <c r="H13" s="37">
        <f>MMULT(F13,G13)</f>
        <v>2949.4215999999997</v>
      </c>
      <c r="I13" s="37"/>
      <c r="J13" s="33">
        <f>F13*1.033</f>
        <v>38.084406409999993</v>
      </c>
      <c r="K13" s="34">
        <v>80</v>
      </c>
      <c r="L13" s="37">
        <f>MMULT(J13,K13)</f>
        <v>3046.7525127999993</v>
      </c>
      <c r="M13" s="37">
        <f>D13+H13+L13</f>
        <v>8851.3741127999983</v>
      </c>
    </row>
    <row r="14" spans="1:15" s="10" customFormat="1" ht="13" customHeight="1">
      <c r="A14" s="32" t="s">
        <v>22</v>
      </c>
      <c r="B14" s="33">
        <f>ROUND(65918/2088,2)</f>
        <v>31.57</v>
      </c>
      <c r="C14" s="34">
        <v>160</v>
      </c>
      <c r="D14" s="35">
        <f>MMULT(B14,C14)</f>
        <v>5051.2</v>
      </c>
      <c r="E14" s="36"/>
      <c r="F14" s="33">
        <f>B14*1.033</f>
        <v>32.611809999999998</v>
      </c>
      <c r="G14" s="34">
        <v>0</v>
      </c>
      <c r="H14" s="37">
        <f>MMULT(F14,G14)</f>
        <v>0</v>
      </c>
      <c r="I14" s="37"/>
      <c r="J14" s="33">
        <f>F14*1.033</f>
        <v>33.687999729999994</v>
      </c>
      <c r="K14" s="34">
        <v>0</v>
      </c>
      <c r="L14" s="37">
        <f>MMULT(J14,K14)</f>
        <v>0</v>
      </c>
      <c r="M14" s="37">
        <f>D14+H14+L14</f>
        <v>5051.2</v>
      </c>
    </row>
    <row r="15" spans="1:15" s="24" customFormat="1" ht="13" customHeight="1" thickBot="1">
      <c r="A15" s="39" t="s">
        <v>23</v>
      </c>
      <c r="B15" s="40"/>
      <c r="C15" s="41">
        <f>SUM(C11:C14)</f>
        <v>400</v>
      </c>
      <c r="D15" s="42">
        <f>SUM(D11:D14)</f>
        <v>15466.399999999998</v>
      </c>
      <c r="E15" s="43"/>
      <c r="F15" s="40"/>
      <c r="G15" s="41">
        <f>SUM(G11:G14)</f>
        <v>240</v>
      </c>
      <c r="H15" s="44">
        <f>SUM(H11:H14)</f>
        <v>10758.901599999997</v>
      </c>
      <c r="I15" s="44"/>
      <c r="J15" s="40"/>
      <c r="K15" s="41">
        <f>SUM(K11:K14)</f>
        <v>240</v>
      </c>
      <c r="L15" s="44">
        <f>SUM(L11:L14)</f>
        <v>11113.945352799998</v>
      </c>
      <c r="M15" s="44">
        <f>D15+H15+L15</f>
        <v>37339.246952799993</v>
      </c>
    </row>
    <row r="16" spans="1:15" s="38" customFormat="1" ht="14" customHeight="1" thickBot="1">
      <c r="A16" s="124" t="s">
        <v>94</v>
      </c>
      <c r="B16" s="26"/>
      <c r="C16" s="27"/>
      <c r="D16" s="35"/>
      <c r="E16" s="29"/>
      <c r="F16" s="26"/>
      <c r="G16" s="27"/>
      <c r="H16" s="37"/>
      <c r="I16" s="31"/>
      <c r="J16" s="26"/>
      <c r="K16" s="27"/>
      <c r="L16" s="31"/>
      <c r="M16" s="37"/>
    </row>
    <row r="17" spans="1:14" s="10" customFormat="1" ht="13" customHeight="1">
      <c r="A17" s="45" t="s">
        <v>25</v>
      </c>
      <c r="B17" s="33">
        <v>45</v>
      </c>
      <c r="C17" s="34">
        <v>40</v>
      </c>
      <c r="D17" s="35">
        <f>MMULT(B17,C17)</f>
        <v>1800</v>
      </c>
      <c r="E17" s="36"/>
      <c r="F17" s="33">
        <f>B17*1.033</f>
        <v>46.484999999999999</v>
      </c>
      <c r="G17" s="34">
        <v>0</v>
      </c>
      <c r="H17" s="37">
        <f>MMULT(F17,G17)</f>
        <v>0</v>
      </c>
      <c r="I17" s="37"/>
      <c r="J17" s="33">
        <f>F17*1.033</f>
        <v>48.019004999999993</v>
      </c>
      <c r="K17" s="34">
        <v>0</v>
      </c>
      <c r="L17" s="37">
        <f>MMULT(J17,K17)</f>
        <v>0</v>
      </c>
      <c r="M17" s="37">
        <f>D17+H17+L17</f>
        <v>1800</v>
      </c>
    </row>
    <row r="18" spans="1:14" s="52" customFormat="1" ht="13" customHeight="1" thickBot="1">
      <c r="A18" s="46" t="s">
        <v>24</v>
      </c>
      <c r="B18" s="47"/>
      <c r="C18" s="48">
        <f>SUM(C17)</f>
        <v>40</v>
      </c>
      <c r="D18" s="42">
        <f>SUM(D17)</f>
        <v>1800</v>
      </c>
      <c r="E18" s="49"/>
      <c r="F18" s="50"/>
      <c r="G18" s="48">
        <f>SUM(G17:G17)</f>
        <v>0</v>
      </c>
      <c r="H18" s="51">
        <f>SUM(H17)</f>
        <v>0</v>
      </c>
      <c r="I18" s="51"/>
      <c r="J18" s="47"/>
      <c r="K18" s="48">
        <f>SUM(K17:K17)</f>
        <v>0</v>
      </c>
      <c r="L18" s="51">
        <f>SUM(L17)</f>
        <v>0</v>
      </c>
      <c r="M18" s="51">
        <f>D18+H18+L18</f>
        <v>1800</v>
      </c>
    </row>
    <row r="19" spans="1:14" s="38" customFormat="1" ht="14" customHeight="1" thickBot="1">
      <c r="A19" s="125" t="s">
        <v>26</v>
      </c>
      <c r="B19" s="26"/>
      <c r="C19" s="27"/>
      <c r="D19" s="28"/>
      <c r="E19" s="29"/>
      <c r="F19" s="26"/>
      <c r="G19" s="27"/>
      <c r="H19" s="31"/>
      <c r="I19" s="31"/>
      <c r="J19" s="26"/>
      <c r="K19" s="27"/>
      <c r="L19" s="31"/>
      <c r="M19" s="37"/>
    </row>
    <row r="20" spans="1:14" s="38" customFormat="1" ht="13" customHeight="1">
      <c r="A20" s="52" t="s">
        <v>89</v>
      </c>
      <c r="B20" s="50">
        <v>12</v>
      </c>
      <c r="C20" s="53">
        <v>200</v>
      </c>
      <c r="D20" s="35">
        <f>MMULT(B20,C20)</f>
        <v>2400</v>
      </c>
      <c r="E20" s="54"/>
      <c r="F20" s="33">
        <f>B20*1.033</f>
        <v>12.395999999999999</v>
      </c>
      <c r="G20" s="53">
        <v>200</v>
      </c>
      <c r="H20" s="37">
        <f>MMULT(F20,G20)</f>
        <v>2479.1999999999998</v>
      </c>
      <c r="I20" s="55"/>
      <c r="J20" s="33">
        <f>F20*1.033</f>
        <v>12.805067999999999</v>
      </c>
      <c r="K20" s="53">
        <v>200</v>
      </c>
      <c r="L20" s="37">
        <f>MMULT(J20,K20)</f>
        <v>2561.0135999999998</v>
      </c>
      <c r="M20" s="37">
        <f>D20+H20+L20</f>
        <v>7440.2135999999991</v>
      </c>
      <c r="N20" s="56"/>
    </row>
    <row r="21" spans="1:14" s="24" customFormat="1" ht="14" customHeight="1" thickBot="1">
      <c r="A21" s="46" t="s">
        <v>27</v>
      </c>
      <c r="B21" s="40"/>
      <c r="C21" s="41">
        <f>SUM(C20:C20)</f>
        <v>200</v>
      </c>
      <c r="D21" s="42">
        <f>SUM(D20:D20)</f>
        <v>2400</v>
      </c>
      <c r="E21" s="43"/>
      <c r="F21" s="44"/>
      <c r="G21" s="41">
        <f>SUM(G20:G20)</f>
        <v>200</v>
      </c>
      <c r="H21" s="44">
        <f>SUM(H20:H20)</f>
        <v>2479.1999999999998</v>
      </c>
      <c r="I21" s="44"/>
      <c r="J21" s="44"/>
      <c r="K21" s="41">
        <f>SUM(K20:K20)</f>
        <v>200</v>
      </c>
      <c r="L21" s="44">
        <f>SUM(L20:L20)</f>
        <v>2561.0135999999998</v>
      </c>
      <c r="M21" s="44">
        <f>D21+H21+L21</f>
        <v>7440.2135999999991</v>
      </c>
      <c r="N21" s="10"/>
    </row>
    <row r="22" spans="1:14" s="38" customFormat="1" ht="14" customHeight="1" thickBot="1">
      <c r="A22" s="125" t="s">
        <v>28</v>
      </c>
      <c r="B22" s="40"/>
      <c r="C22" s="41"/>
      <c r="D22" s="42"/>
      <c r="E22" s="43"/>
      <c r="F22" s="40"/>
      <c r="G22" s="41"/>
      <c r="H22" s="44"/>
      <c r="I22" s="44"/>
      <c r="J22" s="40"/>
      <c r="K22" s="41"/>
      <c r="L22" s="44"/>
      <c r="M22" s="37"/>
    </row>
    <row r="23" spans="1:14" s="38" customFormat="1" ht="12" customHeight="1">
      <c r="A23" s="24" t="s">
        <v>29</v>
      </c>
      <c r="B23" s="33">
        <f>36177/1600</f>
        <v>22.610624999999999</v>
      </c>
      <c r="C23" s="34">
        <v>800</v>
      </c>
      <c r="D23" s="35">
        <f>MMULT(B23,C23)</f>
        <v>18088.5</v>
      </c>
      <c r="E23" s="36"/>
      <c r="F23" s="33">
        <f>B23*1.033</f>
        <v>23.356775624999997</v>
      </c>
      <c r="G23" s="34">
        <v>800</v>
      </c>
      <c r="H23" s="37">
        <f>MMULT(F23,G23)</f>
        <v>18685.420499999997</v>
      </c>
      <c r="I23" s="37"/>
      <c r="J23" s="33">
        <f>F23*1.033</f>
        <v>24.127549220624996</v>
      </c>
      <c r="K23" s="34">
        <v>800</v>
      </c>
      <c r="L23" s="37">
        <f>MMULT(J23,K23)</f>
        <v>19302.039376499997</v>
      </c>
      <c r="M23" s="37">
        <f>D23+H23+L23</f>
        <v>56075.95987649999</v>
      </c>
    </row>
    <row r="24" spans="1:14" s="38" customFormat="1" ht="12" customHeight="1">
      <c r="A24" s="24" t="s">
        <v>30</v>
      </c>
      <c r="B24" s="33">
        <f>36177*0.00072</f>
        <v>26.047440000000002</v>
      </c>
      <c r="C24" s="34">
        <v>464</v>
      </c>
      <c r="D24" s="35">
        <f>MMULT(B24,C24)</f>
        <v>12086.01216</v>
      </c>
      <c r="E24" s="36"/>
      <c r="F24" s="33">
        <f>B24*1.033</f>
        <v>26.907005519999998</v>
      </c>
      <c r="G24" s="34">
        <v>464</v>
      </c>
      <c r="H24" s="37">
        <f>MMULT(F24,G24)</f>
        <v>12484.85056128</v>
      </c>
      <c r="I24" s="37"/>
      <c r="J24" s="33">
        <f>F24*1.033</f>
        <v>27.794936702159998</v>
      </c>
      <c r="K24" s="34">
        <v>464</v>
      </c>
      <c r="L24" s="37">
        <f>MMULT(J24,K24)</f>
        <v>12896.850629802238</v>
      </c>
      <c r="M24" s="37">
        <f>D24+H24+L24</f>
        <v>37467.713351082239</v>
      </c>
    </row>
    <row r="25" spans="1:14" s="52" customFormat="1" ht="13" customHeight="1" thickBot="1">
      <c r="A25" s="46" t="s">
        <v>31</v>
      </c>
      <c r="B25" s="51"/>
      <c r="C25" s="48">
        <f>SUM(C23:C24)</f>
        <v>1264</v>
      </c>
      <c r="D25" s="42">
        <f>SUM(D23:D24)</f>
        <v>30174.512159999998</v>
      </c>
      <c r="E25" s="49"/>
      <c r="F25" s="51"/>
      <c r="G25" s="48">
        <f>SUM(G23:G24)</f>
        <v>1264</v>
      </c>
      <c r="H25" s="51">
        <f>SUM(H23:H24)</f>
        <v>31170.271061279997</v>
      </c>
      <c r="I25" s="51"/>
      <c r="J25" s="51"/>
      <c r="K25" s="48">
        <f>SUM(K23:K24)</f>
        <v>1264</v>
      </c>
      <c r="L25" s="51">
        <f>SUM(L23:L24)</f>
        <v>32198.890006302237</v>
      </c>
      <c r="M25" s="51">
        <f>D25+H25+L25</f>
        <v>93543.673227582243</v>
      </c>
    </row>
    <row r="26" spans="1:14" s="52" customFormat="1" ht="13" customHeight="1" thickBot="1">
      <c r="A26" s="126" t="s">
        <v>32</v>
      </c>
      <c r="B26" s="127"/>
      <c r="C26" s="128">
        <f>C15+C18+C21+C25</f>
        <v>1904</v>
      </c>
      <c r="D26" s="129">
        <f>D15+D18+D21+D25</f>
        <v>49840.912159999993</v>
      </c>
      <c r="E26" s="130"/>
      <c r="F26" s="131"/>
      <c r="G26" s="128">
        <f>G15+G18+G21+G25</f>
        <v>1704</v>
      </c>
      <c r="H26" s="131">
        <f>H15+H18+H21+H25</f>
        <v>44408.372661279995</v>
      </c>
      <c r="I26" s="130"/>
      <c r="J26" s="127"/>
      <c r="K26" s="128">
        <f>K15+K18+K21+K25</f>
        <v>1704</v>
      </c>
      <c r="L26" s="131">
        <f>L15+L18+L21+L25</f>
        <v>45873.848959102237</v>
      </c>
      <c r="M26" s="132">
        <f>D26+H26+L26</f>
        <v>140123.13378038222</v>
      </c>
    </row>
    <row r="27" spans="1:14" s="52" customFormat="1" ht="13" customHeight="1" thickBot="1">
      <c r="A27" s="133" t="s">
        <v>83</v>
      </c>
      <c r="B27" s="47"/>
      <c r="C27" s="57"/>
      <c r="D27" s="42"/>
      <c r="E27" s="49"/>
      <c r="F27" s="51"/>
      <c r="G27" s="58"/>
      <c r="H27" s="51"/>
      <c r="I27" s="51"/>
      <c r="J27" s="51"/>
      <c r="K27" s="59"/>
      <c r="L27" s="51"/>
      <c r="M27" s="51"/>
    </row>
    <row r="28" spans="1:14" s="52" customFormat="1" ht="11" customHeight="1">
      <c r="A28" s="52" t="s">
        <v>77</v>
      </c>
      <c r="B28" s="50"/>
      <c r="C28" s="55">
        <f>SUM(D15)</f>
        <v>15466.399999999998</v>
      </c>
      <c r="D28" s="35">
        <f>C28*0.3</f>
        <v>4639.9199999999992</v>
      </c>
      <c r="E28" s="54"/>
      <c r="F28" s="55"/>
      <c r="G28" s="55">
        <f>SUM(H15)</f>
        <v>10758.901599999997</v>
      </c>
      <c r="H28" s="35">
        <f>G28*0.3</f>
        <v>3227.6704799999993</v>
      </c>
      <c r="I28" s="55"/>
      <c r="J28" s="55"/>
      <c r="K28" s="55">
        <f>SUM(L15)</f>
        <v>11113.945352799998</v>
      </c>
      <c r="L28" s="35">
        <f>K28*0.3</f>
        <v>3334.183605839999</v>
      </c>
      <c r="M28" s="55">
        <f>D28+H28+L28</f>
        <v>11201.774085839997</v>
      </c>
    </row>
    <row r="29" spans="1:14" s="60" customFormat="1" ht="12" customHeight="1">
      <c r="A29" s="52" t="s">
        <v>95</v>
      </c>
      <c r="B29" s="50"/>
      <c r="C29" s="55">
        <f>D17</f>
        <v>1800</v>
      </c>
      <c r="D29" s="35">
        <f>C29*0.1</f>
        <v>180</v>
      </c>
      <c r="E29" s="54"/>
      <c r="F29" s="55"/>
      <c r="G29" s="55">
        <f>H17</f>
        <v>0</v>
      </c>
      <c r="H29" s="35">
        <f>G29*0.1</f>
        <v>0</v>
      </c>
      <c r="I29" s="55"/>
      <c r="J29" s="55"/>
      <c r="K29" s="55">
        <f>L17</f>
        <v>0</v>
      </c>
      <c r="L29" s="35">
        <f>K29*0.1</f>
        <v>0</v>
      </c>
      <c r="M29" s="55">
        <f>D29+H29+L29</f>
        <v>180</v>
      </c>
    </row>
    <row r="30" spans="1:14" s="10" customFormat="1" ht="12" customHeight="1">
      <c r="A30" s="52" t="s">
        <v>76</v>
      </c>
      <c r="B30" s="50"/>
      <c r="C30" s="55">
        <f>D21</f>
        <v>2400</v>
      </c>
      <c r="D30" s="35">
        <f>C30*0.035</f>
        <v>84.000000000000014</v>
      </c>
      <c r="E30" s="54"/>
      <c r="F30" s="55"/>
      <c r="G30" s="55">
        <f>H21</f>
        <v>2479.1999999999998</v>
      </c>
      <c r="H30" s="35">
        <f>G30*0.035</f>
        <v>86.772000000000006</v>
      </c>
      <c r="I30" s="55"/>
      <c r="J30" s="55"/>
      <c r="K30" s="55">
        <f>L21</f>
        <v>2561.0135999999998</v>
      </c>
      <c r="L30" s="35">
        <f>K30*0.035</f>
        <v>89.635475999999997</v>
      </c>
      <c r="M30" s="37">
        <f>D30+H30+L30</f>
        <v>260.40747600000003</v>
      </c>
    </row>
    <row r="31" spans="1:14" s="64" customFormat="1" ht="13" customHeight="1" thickBot="1">
      <c r="A31" s="61" t="s">
        <v>75</v>
      </c>
      <c r="B31" s="62"/>
      <c r="C31" s="54">
        <f>D25</f>
        <v>30174.512159999998</v>
      </c>
      <c r="D31" s="63">
        <f>C31*0.595</f>
        <v>17953.834735199998</v>
      </c>
      <c r="E31" s="54"/>
      <c r="F31" s="54"/>
      <c r="G31" s="54">
        <f>H25</f>
        <v>31170.271061279997</v>
      </c>
      <c r="H31" s="63">
        <f>G31*0.595</f>
        <v>18546.311281461596</v>
      </c>
      <c r="I31" s="54"/>
      <c r="J31" s="54"/>
      <c r="K31" s="54">
        <f>L25</f>
        <v>32198.890006302237</v>
      </c>
      <c r="L31" s="63">
        <f>K31*0.595</f>
        <v>19158.339553749829</v>
      </c>
      <c r="M31" s="36">
        <f>D31+H31+L31</f>
        <v>55658.485570411423</v>
      </c>
    </row>
    <row r="32" spans="1:14" s="10" customFormat="1" ht="11.5" customHeight="1" thickBot="1">
      <c r="A32" s="134" t="s">
        <v>33</v>
      </c>
      <c r="B32" s="135"/>
      <c r="C32" s="136"/>
      <c r="D32" s="137">
        <f>SUM(D28:D31)</f>
        <v>22857.754735199997</v>
      </c>
      <c r="E32" s="136"/>
      <c r="F32" s="136"/>
      <c r="G32" s="136"/>
      <c r="H32" s="137">
        <f>SUM(H28:H31)</f>
        <v>21860.753761461594</v>
      </c>
      <c r="I32" s="136"/>
      <c r="J32" s="136"/>
      <c r="K32" s="136"/>
      <c r="L32" s="137">
        <f>SUM(L28:L31)</f>
        <v>22582.158635589829</v>
      </c>
      <c r="M32" s="138">
        <f>D32+H32+L32</f>
        <v>67300.667132251416</v>
      </c>
    </row>
    <row r="33" spans="1:15" s="10" customFormat="1" ht="9" customHeight="1" thickBot="1">
      <c r="B33" s="26"/>
      <c r="C33" s="65"/>
      <c r="D33" s="28"/>
      <c r="E33" s="31"/>
      <c r="F33" s="31"/>
      <c r="G33" s="66"/>
      <c r="H33" s="31"/>
      <c r="I33" s="31"/>
      <c r="J33" s="31"/>
      <c r="K33" s="31"/>
      <c r="L33" s="31"/>
      <c r="M33" s="31"/>
    </row>
    <row r="34" spans="1:15" s="67" customFormat="1" ht="13" customHeight="1" thickBot="1">
      <c r="A34" s="139" t="s">
        <v>34</v>
      </c>
      <c r="B34" s="140"/>
      <c r="C34" s="141"/>
      <c r="D34" s="137">
        <f>D26+D32</f>
        <v>72698.666895199989</v>
      </c>
      <c r="E34" s="142"/>
      <c r="F34" s="142"/>
      <c r="G34" s="143"/>
      <c r="H34" s="142">
        <f>H26+H32</f>
        <v>66269.126422741596</v>
      </c>
      <c r="I34" s="142"/>
      <c r="J34" s="142"/>
      <c r="K34" s="144"/>
      <c r="L34" s="142">
        <f>L26+L32</f>
        <v>68456.00759469207</v>
      </c>
      <c r="M34" s="138">
        <f>D34+H34+L34</f>
        <v>207423.80091263365</v>
      </c>
    </row>
    <row r="35" spans="1:15" s="24" customFormat="1" ht="9" customHeight="1" thickBot="1">
      <c r="A35" s="10"/>
      <c r="B35" s="26"/>
      <c r="C35" s="65"/>
      <c r="D35" s="28"/>
      <c r="E35" s="29"/>
      <c r="F35" s="31"/>
      <c r="G35" s="66"/>
      <c r="H35" s="31"/>
      <c r="I35" s="31"/>
      <c r="J35" s="31"/>
      <c r="K35" s="31"/>
      <c r="L35" s="31"/>
      <c r="M35" s="31"/>
      <c r="N35" s="10"/>
    </row>
    <row r="36" spans="1:15" s="24" customFormat="1" ht="14" customHeight="1" thickBot="1">
      <c r="A36" s="145" t="s">
        <v>35</v>
      </c>
      <c r="B36" s="26"/>
      <c r="C36" s="65"/>
      <c r="D36" s="28"/>
      <c r="E36" s="29"/>
      <c r="F36" s="31"/>
      <c r="G36" s="66"/>
      <c r="H36" s="31"/>
      <c r="I36" s="31"/>
      <c r="J36" s="31"/>
      <c r="K36" s="31"/>
      <c r="L36" s="31"/>
      <c r="M36" s="31"/>
      <c r="N36" s="10"/>
    </row>
    <row r="37" spans="1:15" s="24" customFormat="1" ht="14" customHeight="1" thickBot="1">
      <c r="A37" s="146" t="s">
        <v>36</v>
      </c>
      <c r="B37" s="147"/>
      <c r="C37" s="148"/>
      <c r="D37" s="129">
        <f>SUM(D38:D46)</f>
        <v>14160</v>
      </c>
      <c r="E37" s="149"/>
      <c r="F37" s="149"/>
      <c r="G37" s="150"/>
      <c r="H37" s="149">
        <f>SUM(H38:H46)</f>
        <v>3776.8199999999997</v>
      </c>
      <c r="I37" s="149"/>
      <c r="J37" s="149"/>
      <c r="K37" s="149"/>
      <c r="L37" s="149">
        <f>SUM(L38:L46)</f>
        <v>3363.9505599999998</v>
      </c>
      <c r="M37" s="151">
        <f>D37+H37+L37</f>
        <v>21300.770560000001</v>
      </c>
      <c r="N37" s="10"/>
      <c r="O37" s="37"/>
    </row>
    <row r="38" spans="1:15" s="24" customFormat="1" ht="13" customHeight="1">
      <c r="A38" s="24" t="s">
        <v>84</v>
      </c>
      <c r="B38" s="33"/>
      <c r="C38" s="68"/>
      <c r="D38" s="35">
        <v>120</v>
      </c>
      <c r="E38" s="36"/>
      <c r="F38" s="37"/>
      <c r="G38" s="69"/>
      <c r="H38" s="37">
        <v>120</v>
      </c>
      <c r="I38" s="37"/>
      <c r="J38" s="37"/>
      <c r="K38" s="37"/>
      <c r="L38" s="37">
        <v>120</v>
      </c>
      <c r="M38" s="37"/>
      <c r="N38" s="10"/>
    </row>
    <row r="39" spans="1:15" s="24" customFormat="1" ht="13" customHeight="1">
      <c r="A39" s="24" t="s">
        <v>37</v>
      </c>
      <c r="B39" s="33"/>
      <c r="C39" s="68"/>
      <c r="D39" s="35">
        <v>2000</v>
      </c>
      <c r="E39" s="36"/>
      <c r="F39" s="37"/>
      <c r="G39" s="69"/>
      <c r="H39" s="37" t="s">
        <v>38</v>
      </c>
      <c r="I39" s="37"/>
      <c r="J39" s="37"/>
      <c r="K39" s="37"/>
      <c r="L39" s="37" t="s">
        <v>38</v>
      </c>
      <c r="M39" s="37"/>
      <c r="N39" s="10"/>
    </row>
    <row r="40" spans="1:15" s="24" customFormat="1" ht="13" customHeight="1">
      <c r="A40" s="24" t="s">
        <v>100</v>
      </c>
      <c r="B40" s="33"/>
      <c r="C40" s="68"/>
      <c r="D40" s="35">
        <v>500</v>
      </c>
      <c r="E40" s="36"/>
      <c r="F40" s="37"/>
      <c r="G40" s="69"/>
      <c r="H40" s="37">
        <f>D40*1.033</f>
        <v>516.5</v>
      </c>
      <c r="I40" s="37"/>
      <c r="J40" s="37"/>
      <c r="K40" s="37"/>
      <c r="L40" s="37">
        <v>0</v>
      </c>
      <c r="M40" s="37"/>
      <c r="N40" s="10"/>
    </row>
    <row r="41" spans="1:15" s="70" customFormat="1" ht="12" customHeight="1">
      <c r="A41" s="24" t="s">
        <v>39</v>
      </c>
      <c r="B41" s="33"/>
      <c r="C41" s="68"/>
      <c r="D41" s="35">
        <v>250</v>
      </c>
      <c r="E41" s="36"/>
      <c r="F41" s="37"/>
      <c r="G41" s="69"/>
      <c r="H41" s="37">
        <f>D41*1.033</f>
        <v>258.25</v>
      </c>
      <c r="I41" s="37"/>
      <c r="J41" s="37"/>
      <c r="K41" s="37"/>
      <c r="L41" s="37">
        <f>H41*1.033</f>
        <v>266.77224999999999</v>
      </c>
      <c r="M41" s="37"/>
      <c r="N41" s="67"/>
    </row>
    <row r="42" spans="1:15" s="10" customFormat="1" ht="13" customHeight="1">
      <c r="A42" s="24" t="s">
        <v>79</v>
      </c>
      <c r="B42" s="33"/>
      <c r="C42" s="68"/>
      <c r="D42" s="35">
        <v>150</v>
      </c>
      <c r="E42" s="36"/>
      <c r="F42" s="37"/>
      <c r="G42" s="69"/>
      <c r="H42" s="37">
        <f>D42*1.033</f>
        <v>154.94999999999999</v>
      </c>
      <c r="I42" s="37"/>
      <c r="J42" s="37"/>
      <c r="K42" s="37"/>
      <c r="L42" s="37">
        <f>H42*1.033</f>
        <v>160.06334999999999</v>
      </c>
      <c r="M42" s="37"/>
    </row>
    <row r="43" spans="1:15" s="24" customFormat="1" ht="13" customHeight="1">
      <c r="A43" s="24" t="s">
        <v>93</v>
      </c>
      <c r="B43" s="33"/>
      <c r="C43" s="68"/>
      <c r="D43" s="35">
        <f>110*3*8</f>
        <v>2640</v>
      </c>
      <c r="E43" s="36"/>
      <c r="F43" s="37"/>
      <c r="G43" s="69"/>
      <c r="H43" s="37">
        <f>D43*1.033</f>
        <v>2727.12</v>
      </c>
      <c r="I43" s="37"/>
      <c r="J43" s="37"/>
      <c r="K43" s="37"/>
      <c r="L43" s="37">
        <f>H43*1.033</f>
        <v>2817.1149599999999</v>
      </c>
      <c r="M43" s="37"/>
      <c r="N43" s="10"/>
    </row>
    <row r="44" spans="1:15" s="24" customFormat="1" ht="13" customHeight="1">
      <c r="A44" s="24" t="s">
        <v>90</v>
      </c>
      <c r="B44" s="33"/>
      <c r="C44" s="68"/>
      <c r="D44" s="35">
        <f>5000</f>
        <v>5000</v>
      </c>
      <c r="E44" s="36"/>
      <c r="F44" s="37"/>
      <c r="G44" s="69"/>
      <c r="H44" s="37">
        <v>0</v>
      </c>
      <c r="I44" s="37"/>
      <c r="J44" s="37"/>
      <c r="K44" s="37"/>
      <c r="L44" s="37">
        <v>0</v>
      </c>
      <c r="M44" s="37"/>
      <c r="N44" s="10"/>
    </row>
    <row r="45" spans="1:15" s="24" customFormat="1" ht="13" customHeight="1">
      <c r="A45" s="24" t="s">
        <v>91</v>
      </c>
      <c r="B45" s="33"/>
      <c r="C45" s="68"/>
      <c r="D45" s="35">
        <f>1000</f>
        <v>1000</v>
      </c>
      <c r="E45" s="36"/>
      <c r="F45" s="37"/>
      <c r="G45" s="69"/>
      <c r="H45" s="37">
        <v>0</v>
      </c>
      <c r="I45" s="37"/>
      <c r="J45" s="37"/>
      <c r="K45" s="37"/>
      <c r="L45" s="37">
        <v>0</v>
      </c>
      <c r="M45" s="37"/>
      <c r="N45" s="10"/>
    </row>
    <row r="46" spans="1:15" s="24" customFormat="1" ht="14" customHeight="1" thickBot="1">
      <c r="A46" s="24" t="s">
        <v>87</v>
      </c>
      <c r="B46" s="33"/>
      <c r="C46" s="68"/>
      <c r="D46" s="35">
        <v>2500</v>
      </c>
      <c r="E46" s="36"/>
      <c r="F46" s="37"/>
      <c r="G46" s="69"/>
      <c r="H46" s="37">
        <v>0</v>
      </c>
      <c r="I46" s="37"/>
      <c r="J46" s="37"/>
      <c r="K46" s="37"/>
      <c r="L46" s="37">
        <v>0</v>
      </c>
      <c r="M46" s="37"/>
      <c r="N46" s="10"/>
    </row>
    <row r="47" spans="1:15" s="24" customFormat="1" ht="14" customHeight="1" thickBot="1">
      <c r="A47" s="146" t="s">
        <v>40</v>
      </c>
      <c r="B47" s="147"/>
      <c r="C47" s="148"/>
      <c r="D47" s="129">
        <f>C53+D53</f>
        <v>1605</v>
      </c>
      <c r="E47" s="149"/>
      <c r="F47" s="149"/>
      <c r="G47" s="150"/>
      <c r="H47" s="149">
        <f>G53+H53</f>
        <v>1657.9649999999997</v>
      </c>
      <c r="I47" s="149"/>
      <c r="J47" s="149"/>
      <c r="K47" s="149"/>
      <c r="L47" s="149">
        <f>K53+L53</f>
        <v>1712.6778449999997</v>
      </c>
      <c r="M47" s="151">
        <f>D47+H47+L47</f>
        <v>4975.6428449999994</v>
      </c>
      <c r="N47" s="10"/>
    </row>
    <row r="48" spans="1:15" s="24" customFormat="1" ht="26.5" customHeight="1" thickBot="1">
      <c r="A48" s="71" t="s">
        <v>99</v>
      </c>
      <c r="B48" s="26"/>
      <c r="C48" s="162" t="s">
        <v>96</v>
      </c>
      <c r="D48" s="72" t="s">
        <v>97</v>
      </c>
      <c r="E48" s="36"/>
      <c r="F48" s="31"/>
      <c r="G48" s="162" t="s">
        <v>96</v>
      </c>
      <c r="H48" s="72" t="s">
        <v>97</v>
      </c>
      <c r="I48" s="37"/>
      <c r="J48" s="31"/>
      <c r="K48" s="162" t="s">
        <v>96</v>
      </c>
      <c r="L48" s="72" t="s">
        <v>97</v>
      </c>
      <c r="M48" s="31"/>
      <c r="N48" s="10"/>
    </row>
    <row r="49" spans="1:14" s="24" customFormat="1" ht="13.25" customHeight="1">
      <c r="A49" s="73" t="s">
        <v>98</v>
      </c>
      <c r="B49" s="33"/>
      <c r="C49" s="37">
        <f>400</f>
        <v>400</v>
      </c>
      <c r="D49" s="35">
        <v>0</v>
      </c>
      <c r="E49" s="36"/>
      <c r="F49" s="37"/>
      <c r="G49" s="37">
        <f t="shared" ref="G49:H51" si="0">C49*1.033</f>
        <v>413.2</v>
      </c>
      <c r="H49" s="37">
        <f t="shared" si="0"/>
        <v>0</v>
      </c>
      <c r="I49" s="37"/>
      <c r="J49" s="37"/>
      <c r="K49" s="37">
        <f t="shared" ref="K49:L52" si="1">G49*1.033</f>
        <v>426.83559999999994</v>
      </c>
      <c r="L49" s="37">
        <f t="shared" si="1"/>
        <v>0</v>
      </c>
      <c r="M49" s="37"/>
      <c r="N49" s="10"/>
    </row>
    <row r="50" spans="1:14" s="67" customFormat="1" ht="13.25" customHeight="1">
      <c r="A50" s="73" t="s">
        <v>101</v>
      </c>
      <c r="B50" s="33"/>
      <c r="C50" s="37">
        <f>100*4</f>
        <v>400</v>
      </c>
      <c r="D50" s="35">
        <v>0</v>
      </c>
      <c r="E50" s="36"/>
      <c r="F50" s="37"/>
      <c r="G50" s="37">
        <f t="shared" si="0"/>
        <v>413.2</v>
      </c>
      <c r="H50" s="37">
        <f t="shared" si="0"/>
        <v>0</v>
      </c>
      <c r="I50" s="37"/>
      <c r="J50" s="37"/>
      <c r="K50" s="37">
        <f t="shared" si="1"/>
        <v>426.83559999999994</v>
      </c>
      <c r="L50" s="37">
        <f t="shared" si="1"/>
        <v>0</v>
      </c>
      <c r="M50" s="37"/>
    </row>
    <row r="51" spans="1:14" s="24" customFormat="1" ht="13.25" customHeight="1">
      <c r="A51" s="73" t="s">
        <v>80</v>
      </c>
      <c r="B51" s="33"/>
      <c r="C51" s="37">
        <f>49*5</f>
        <v>245</v>
      </c>
      <c r="D51" s="35">
        <v>0</v>
      </c>
      <c r="E51" s="36"/>
      <c r="F51" s="37"/>
      <c r="G51" s="37">
        <f t="shared" si="0"/>
        <v>253.08499999999998</v>
      </c>
      <c r="H51" s="37">
        <f t="shared" si="0"/>
        <v>0</v>
      </c>
      <c r="I51" s="37"/>
      <c r="J51" s="37"/>
      <c r="K51" s="37">
        <f t="shared" si="1"/>
        <v>261.43680499999994</v>
      </c>
      <c r="L51" s="37">
        <f t="shared" si="1"/>
        <v>0</v>
      </c>
      <c r="M51" s="37"/>
    </row>
    <row r="52" spans="1:14" s="24" customFormat="1" ht="13.25" customHeight="1">
      <c r="A52" s="122" t="s">
        <v>78</v>
      </c>
      <c r="B52" s="33"/>
      <c r="C52" s="37">
        <v>0</v>
      </c>
      <c r="D52" s="35">
        <f>40*14</f>
        <v>560</v>
      </c>
      <c r="E52" s="36"/>
      <c r="F52" s="37"/>
      <c r="G52" s="37">
        <f>C52*1.033</f>
        <v>0</v>
      </c>
      <c r="H52" s="37">
        <f>+D52*1.033</f>
        <v>578.4799999999999</v>
      </c>
      <c r="I52" s="37"/>
      <c r="J52" s="37"/>
      <c r="K52" s="37">
        <f t="shared" si="1"/>
        <v>0</v>
      </c>
      <c r="L52" s="37">
        <f t="shared" si="1"/>
        <v>597.56983999999989</v>
      </c>
      <c r="M52" s="37"/>
    </row>
    <row r="53" spans="1:14" s="24" customFormat="1" ht="13.25" customHeight="1" thickBot="1">
      <c r="A53" s="74" t="s">
        <v>41</v>
      </c>
      <c r="B53" s="33"/>
      <c r="C53" s="37">
        <f>SUM(C49:C52)</f>
        <v>1045</v>
      </c>
      <c r="D53" s="35">
        <f>SUM(D49:D52)</f>
        <v>560</v>
      </c>
      <c r="E53" s="36"/>
      <c r="F53" s="37"/>
      <c r="G53" s="37">
        <f>SUM(G49:G52)</f>
        <v>1079.4849999999999</v>
      </c>
      <c r="H53" s="37">
        <f>SUM(H49:H52)</f>
        <v>578.4799999999999</v>
      </c>
      <c r="I53" s="37"/>
      <c r="J53" s="37"/>
      <c r="K53" s="37">
        <f>SUM(K49:K52)</f>
        <v>1115.1080049999998</v>
      </c>
      <c r="L53" s="37">
        <f>SUM(L49:L52)</f>
        <v>597.56983999999989</v>
      </c>
      <c r="M53" s="37"/>
    </row>
    <row r="54" spans="1:14" s="75" customFormat="1" ht="14" customHeight="1" thickBot="1">
      <c r="A54" s="152" t="s">
        <v>42</v>
      </c>
      <c r="B54" s="147"/>
      <c r="C54" s="149"/>
      <c r="D54" s="129">
        <f>SUM(D55:D55)</f>
        <v>9600</v>
      </c>
      <c r="E54" s="149"/>
      <c r="F54" s="149"/>
      <c r="G54" s="149"/>
      <c r="H54" s="149">
        <f>SUM(H55:H55)</f>
        <v>0</v>
      </c>
      <c r="I54" s="149"/>
      <c r="J54" s="149"/>
      <c r="K54" s="149"/>
      <c r="L54" s="149">
        <f>SUM(L55:L55)</f>
        <v>0</v>
      </c>
      <c r="M54" s="151">
        <f>D54+H54+L54</f>
        <v>9600</v>
      </c>
      <c r="N54" s="10"/>
    </row>
    <row r="55" spans="1:14" s="10" customFormat="1" ht="14" customHeight="1" thickBot="1">
      <c r="A55" s="76" t="s">
        <v>92</v>
      </c>
      <c r="B55" s="33"/>
      <c r="C55" s="68"/>
      <c r="D55" s="35">
        <v>9600</v>
      </c>
      <c r="E55" s="36"/>
      <c r="F55" s="37"/>
      <c r="G55" s="69"/>
      <c r="H55" s="37"/>
      <c r="I55" s="37"/>
      <c r="J55" s="37"/>
      <c r="K55" s="37"/>
      <c r="L55" s="37"/>
      <c r="M55" s="37"/>
    </row>
    <row r="56" spans="1:14" s="67" customFormat="1" ht="13" hidden="1" customHeight="1" thickBot="1">
      <c r="A56" s="152" t="s">
        <v>43</v>
      </c>
      <c r="B56" s="153"/>
      <c r="C56" s="154"/>
      <c r="D56" s="129">
        <f>SUM(D57:D57)</f>
        <v>0</v>
      </c>
      <c r="E56" s="153"/>
      <c r="F56" s="153"/>
      <c r="G56" s="155"/>
      <c r="H56" s="149">
        <f>SUM(H57:H57)</f>
        <v>0</v>
      </c>
      <c r="I56" s="153"/>
      <c r="J56" s="153"/>
      <c r="K56" s="153"/>
      <c r="L56" s="149">
        <f>SUM(L57:L57)</f>
        <v>0</v>
      </c>
      <c r="M56" s="151">
        <f>D56+H56+L56</f>
        <v>0</v>
      </c>
    </row>
    <row r="57" spans="1:14" s="10" customFormat="1" ht="14.5" hidden="1" customHeight="1" thickBot="1">
      <c r="A57" s="61"/>
      <c r="B57" s="36"/>
      <c r="C57" s="77"/>
      <c r="D57" s="63">
        <v>0</v>
      </c>
      <c r="E57" s="36"/>
      <c r="F57" s="36"/>
      <c r="G57" s="78"/>
      <c r="H57" s="36">
        <v>0</v>
      </c>
      <c r="I57" s="36"/>
      <c r="J57" s="36"/>
      <c r="K57" s="36"/>
      <c r="L57" s="36">
        <v>0</v>
      </c>
      <c r="M57" s="36"/>
    </row>
    <row r="58" spans="1:14" s="79" customFormat="1" ht="14" customHeight="1" thickBot="1">
      <c r="A58" s="156" t="s">
        <v>44</v>
      </c>
      <c r="B58" s="157"/>
      <c r="C58" s="158"/>
      <c r="D58" s="159">
        <f>D37+D47+D54+D56</f>
        <v>25365</v>
      </c>
      <c r="E58" s="160"/>
      <c r="F58" s="160"/>
      <c r="G58" s="160"/>
      <c r="H58" s="160">
        <f>H37+H47+H54+H56</f>
        <v>5434.7849999999999</v>
      </c>
      <c r="I58" s="160"/>
      <c r="J58" s="160"/>
      <c r="K58" s="160"/>
      <c r="L58" s="160">
        <f>L37+L47+L54+L56</f>
        <v>5076.6284049999995</v>
      </c>
      <c r="M58" s="161">
        <f>D58+H58+L58</f>
        <v>35876.413404999999</v>
      </c>
    </row>
    <row r="59" spans="1:14" s="79" customFormat="1" ht="14" customHeight="1" thickBot="1">
      <c r="B59" s="80"/>
      <c r="C59" s="81"/>
      <c r="D59" s="82"/>
      <c r="E59" s="29"/>
      <c r="F59" s="29"/>
      <c r="G59" s="29"/>
      <c r="H59" s="29"/>
      <c r="I59" s="29"/>
      <c r="J59" s="29"/>
      <c r="K59" s="29"/>
      <c r="L59" s="29"/>
      <c r="M59" s="29"/>
    </row>
    <row r="60" spans="1:14" s="24" customFormat="1" ht="14" customHeight="1" thickBot="1">
      <c r="A60" s="146" t="s">
        <v>45</v>
      </c>
      <c r="B60" s="147"/>
      <c r="C60" s="148"/>
      <c r="D60" s="129">
        <f>D34+D58</f>
        <v>98063.666895199989</v>
      </c>
      <c r="E60" s="149"/>
      <c r="F60" s="149"/>
      <c r="G60" s="149"/>
      <c r="H60" s="149">
        <f>H34+H58</f>
        <v>71703.911422741599</v>
      </c>
      <c r="I60" s="149"/>
      <c r="J60" s="149"/>
      <c r="K60" s="149"/>
      <c r="L60" s="149">
        <f>L34+L58</f>
        <v>73532.635999692066</v>
      </c>
      <c r="M60" s="151">
        <f>D60+H60+L60</f>
        <v>243300.21431763365</v>
      </c>
      <c r="N60" s="10"/>
    </row>
    <row r="61" spans="1:14" s="24" customFormat="1" ht="14" customHeight="1" thickBot="1">
      <c r="A61" s="10"/>
      <c r="B61" s="26"/>
      <c r="C61" s="65"/>
      <c r="D61" s="28"/>
      <c r="E61" s="29"/>
      <c r="F61" s="31"/>
      <c r="G61" s="66"/>
      <c r="H61" s="31"/>
      <c r="I61" s="31"/>
      <c r="J61" s="31"/>
      <c r="K61" s="31"/>
      <c r="L61" s="31"/>
      <c r="M61" s="31"/>
      <c r="N61" s="10"/>
    </row>
    <row r="62" spans="1:14" s="67" customFormat="1" ht="14" customHeight="1" thickBot="1">
      <c r="A62" s="123" t="s">
        <v>46</v>
      </c>
      <c r="B62" s="26"/>
      <c r="C62" s="65"/>
      <c r="D62" s="28"/>
      <c r="E62" s="29"/>
      <c r="F62" s="31"/>
      <c r="G62" s="66"/>
      <c r="H62" s="31"/>
      <c r="I62" s="31"/>
      <c r="J62" s="31"/>
      <c r="K62" s="31"/>
      <c r="L62" s="31"/>
      <c r="M62" s="31"/>
    </row>
    <row r="63" spans="1:14" s="24" customFormat="1" ht="13" customHeight="1">
      <c r="A63" s="83" t="s">
        <v>82</v>
      </c>
      <c r="B63" s="84"/>
      <c r="C63" s="85"/>
      <c r="D63" s="86"/>
      <c r="E63" s="87"/>
      <c r="F63" s="87"/>
      <c r="G63" s="88"/>
      <c r="H63" s="87"/>
      <c r="I63" s="87"/>
      <c r="J63" s="87"/>
      <c r="K63" s="87"/>
      <c r="L63" s="87"/>
      <c r="M63" s="87"/>
      <c r="N63" s="10"/>
    </row>
    <row r="64" spans="1:14" s="67" customFormat="1" ht="13" customHeight="1">
      <c r="A64" s="89"/>
      <c r="B64" s="80"/>
      <c r="C64" s="90" t="s">
        <v>47</v>
      </c>
      <c r="D64" s="91" t="s">
        <v>48</v>
      </c>
      <c r="E64" s="92"/>
      <c r="F64" s="93"/>
      <c r="G64" s="91" t="s">
        <v>47</v>
      </c>
      <c r="H64" s="91" t="s">
        <v>48</v>
      </c>
      <c r="I64" s="94"/>
      <c r="J64" s="93"/>
      <c r="K64" s="91" t="s">
        <v>47</v>
      </c>
      <c r="L64" s="91" t="s">
        <v>48</v>
      </c>
      <c r="M64" s="87"/>
    </row>
    <row r="65" spans="1:13" ht="13" customHeight="1" thickBot="1">
      <c r="A65" s="95" t="s">
        <v>49</v>
      </c>
      <c r="B65" s="33"/>
      <c r="C65" s="37">
        <f>D60-SUM(D25*0.5)-D54-D56</f>
        <v>73376.410815199983</v>
      </c>
      <c r="D65" s="35">
        <f>C65*0.515</f>
        <v>37788.851569827995</v>
      </c>
      <c r="E65" s="36"/>
      <c r="F65" s="37"/>
      <c r="G65" s="37">
        <f>H60-SUM(H25*0.5)-H54-H56</f>
        <v>56118.775892101599</v>
      </c>
      <c r="H65" s="37">
        <f>G65*0.515</f>
        <v>28901.169584432326</v>
      </c>
      <c r="I65" s="37"/>
      <c r="J65" s="37"/>
      <c r="K65" s="37">
        <f>L60-SUM(L25*0.5)-L54-L56</f>
        <v>57433.190996540943</v>
      </c>
      <c r="L65" s="37">
        <f>K65*0.515</f>
        <v>29578.093363218588</v>
      </c>
      <c r="M65" s="37"/>
    </row>
    <row r="66" spans="1:13" ht="14" hidden="1" customHeight="1" thickBot="1">
      <c r="A66" s="95" t="s">
        <v>50</v>
      </c>
      <c r="B66" s="33"/>
      <c r="C66" s="37">
        <v>0</v>
      </c>
      <c r="D66" s="35">
        <f>C66*0.515</f>
        <v>0</v>
      </c>
      <c r="E66" s="36"/>
      <c r="F66" s="37"/>
      <c r="G66" s="37">
        <f>0</f>
        <v>0</v>
      </c>
      <c r="H66" s="37">
        <f>G66*0.515</f>
        <v>0</v>
      </c>
      <c r="I66" s="37"/>
      <c r="J66" s="37"/>
      <c r="K66" s="37">
        <f>0</f>
        <v>0</v>
      </c>
      <c r="L66" s="37">
        <f>K66*0.515</f>
        <v>0</v>
      </c>
      <c r="M66" s="37"/>
    </row>
    <row r="67" spans="1:13" ht="14" customHeight="1" thickBot="1">
      <c r="A67" s="152" t="s">
        <v>51</v>
      </c>
      <c r="B67" s="147"/>
      <c r="C67" s="148"/>
      <c r="D67" s="129">
        <f>SUM(D65:D66)</f>
        <v>37788.851569827995</v>
      </c>
      <c r="E67" s="149"/>
      <c r="F67" s="149"/>
      <c r="G67" s="150"/>
      <c r="H67" s="149">
        <f>SUM(H65:H66)</f>
        <v>28901.169584432326</v>
      </c>
      <c r="I67" s="149"/>
      <c r="J67" s="149"/>
      <c r="K67" s="149"/>
      <c r="L67" s="149">
        <f>SUM(L65:L66)</f>
        <v>29578.093363218588</v>
      </c>
      <c r="M67" s="151">
        <f>D67+H67+L67</f>
        <v>96268.114517478913</v>
      </c>
    </row>
    <row r="68" spans="1:13" ht="14" customHeight="1" thickBot="1">
      <c r="A68" s="95"/>
      <c r="B68" s="33"/>
      <c r="C68" s="68"/>
      <c r="D68" s="35"/>
      <c r="E68" s="36"/>
      <c r="F68" s="37"/>
      <c r="G68" s="69"/>
      <c r="H68" s="37"/>
      <c r="I68" s="37"/>
      <c r="J68" s="37"/>
      <c r="K68" s="37"/>
      <c r="L68" s="37"/>
      <c r="M68" s="37"/>
    </row>
    <row r="69" spans="1:13" ht="14" customHeight="1" thickBot="1">
      <c r="A69" s="146" t="s">
        <v>52</v>
      </c>
      <c r="B69" s="147"/>
      <c r="C69" s="148"/>
      <c r="D69" s="129">
        <f>D60+D67</f>
        <v>135852.51846502797</v>
      </c>
      <c r="E69" s="149"/>
      <c r="F69" s="149"/>
      <c r="G69" s="150"/>
      <c r="H69" s="149">
        <f>H60+H67</f>
        <v>100605.08100717393</v>
      </c>
      <c r="I69" s="149"/>
      <c r="J69" s="149"/>
      <c r="K69" s="149"/>
      <c r="L69" s="149">
        <f>L60+L67</f>
        <v>103110.72936291066</v>
      </c>
      <c r="M69" s="151">
        <f>D69+H69+L69+0.25</f>
        <v>339568.57883511257</v>
      </c>
    </row>
  </sheetData>
  <phoneticPr fontId="19" type="noConversion"/>
  <printOptions horizontalCentered="1" verticalCentered="1"/>
  <pageMargins left="0" right="0" top="0.1" bottom="0.51" header="0" footer="0"/>
  <pageSetup scale="55" firstPageNumber="0" orientation="landscape" horizontalDpi="4294967292" verticalDpi="4294967292"/>
  <headerFooter>
    <oddHeader xml:space="preserve">&amp;L&amp;"Arial,Bold"&amp;9&amp;K000000FOR INTERNAL USE ONLY&amp;R&amp;"Arial,Italic"&amp;8&amp;K000000A Galactic Plane Survey using Supercam </oddHeader>
    <oddFooter>&amp;L&amp;"Tahoma,Regular"&amp;8&amp;K000000 &amp;7 3.3% inflationary rate applied to all eligible costs in Years 2 and 3.&amp;R&amp;8&amp;K000000 &amp;F_x000D_&amp;D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4"/>
  <sheetViews>
    <sheetView workbookViewId="0"/>
  </sheetViews>
  <sheetFormatPr baseColWidth="10" defaultColWidth="11.5" defaultRowHeight="12" x14ac:dyDescent="0"/>
  <sheetData>
    <row r="1" spans="2:34" ht="12" customHeight="1">
      <c r="B1" s="96" t="s">
        <v>6</v>
      </c>
    </row>
    <row r="2" spans="2:34" ht="14" customHeight="1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2:34" ht="13" customHeight="1">
      <c r="B3" s="98"/>
      <c r="C3" s="99"/>
      <c r="D3" s="99"/>
      <c r="E3" s="100" t="s">
        <v>53</v>
      </c>
      <c r="F3" s="101"/>
      <c r="G3" s="100" t="s">
        <v>54</v>
      </c>
      <c r="H3" s="101"/>
      <c r="I3" s="100" t="s">
        <v>55</v>
      </c>
      <c r="J3" s="101"/>
      <c r="K3" s="99"/>
      <c r="L3" s="99"/>
      <c r="M3" s="102"/>
      <c r="O3" s="103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</row>
    <row r="4" spans="2:34" ht="13" customHeight="1">
      <c r="B4" s="104" t="s">
        <v>56</v>
      </c>
      <c r="C4" s="105" t="s">
        <v>57</v>
      </c>
      <c r="D4" s="105" t="s">
        <v>58</v>
      </c>
      <c r="E4" s="106" t="s">
        <v>59</v>
      </c>
      <c r="F4" s="106" t="s">
        <v>59</v>
      </c>
      <c r="G4" s="106" t="s">
        <v>59</v>
      </c>
      <c r="H4" s="106" t="s">
        <v>59</v>
      </c>
      <c r="I4" s="106" t="s">
        <v>59</v>
      </c>
      <c r="J4" s="106" t="s">
        <v>59</v>
      </c>
      <c r="K4" s="105" t="s">
        <v>60</v>
      </c>
      <c r="L4" s="105" t="s">
        <v>58</v>
      </c>
      <c r="M4" s="107" t="s">
        <v>61</v>
      </c>
      <c r="O4" s="103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34" ht="13" customHeight="1">
      <c r="B5" s="108"/>
      <c r="C5" s="105" t="s">
        <v>62</v>
      </c>
      <c r="D5" s="105" t="s">
        <v>63</v>
      </c>
      <c r="E5" s="105" t="s">
        <v>64</v>
      </c>
      <c r="F5" s="105" t="s">
        <v>65</v>
      </c>
      <c r="G5" s="105" t="s">
        <v>66</v>
      </c>
      <c r="H5" s="105" t="s">
        <v>65</v>
      </c>
      <c r="I5" s="105" t="s">
        <v>67</v>
      </c>
      <c r="J5" s="105" t="s">
        <v>65</v>
      </c>
      <c r="K5" s="105" t="s">
        <v>68</v>
      </c>
      <c r="L5" s="105" t="s">
        <v>69</v>
      </c>
      <c r="M5" s="107" t="s">
        <v>65</v>
      </c>
      <c r="O5" s="103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</row>
    <row r="6" spans="2:34" ht="13" customHeight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  <c r="O6" s="103"/>
      <c r="P6" s="97"/>
      <c r="Q6" s="97"/>
      <c r="R6" s="97"/>
      <c r="S6" s="112"/>
      <c r="T6" s="112"/>
      <c r="U6" s="112"/>
      <c r="V6" s="112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</row>
    <row r="7" spans="2:34" ht="13" customHeight="1">
      <c r="B7" s="113" t="s">
        <v>70</v>
      </c>
      <c r="C7" s="114">
        <v>0</v>
      </c>
      <c r="D7" s="114">
        <v>0</v>
      </c>
      <c r="E7" s="114">
        <f>ROUND(257*1.033,0)</f>
        <v>265</v>
      </c>
      <c r="F7" s="114">
        <f>E7*C7</f>
        <v>0</v>
      </c>
      <c r="G7" s="114">
        <f>ROUND((117+59)*1.033,0)</f>
        <v>182</v>
      </c>
      <c r="H7" s="114">
        <f>G7*C7*D7</f>
        <v>0</v>
      </c>
      <c r="I7" s="114">
        <f>ROUND(102*1.033,0)</f>
        <v>105</v>
      </c>
      <c r="J7" s="114">
        <f>I7*D7</f>
        <v>0</v>
      </c>
      <c r="K7" s="114">
        <f>F7+H7+J7</f>
        <v>0</v>
      </c>
      <c r="L7" s="114">
        <v>0</v>
      </c>
      <c r="M7" s="115">
        <f>K7*L7</f>
        <v>0</v>
      </c>
      <c r="O7" s="103"/>
      <c r="P7" s="116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</row>
    <row r="8" spans="2:34" ht="13" customHeight="1">
      <c r="B8" s="113" t="s">
        <v>71</v>
      </c>
      <c r="C8" s="114">
        <v>0</v>
      </c>
      <c r="D8" s="114">
        <v>0</v>
      </c>
      <c r="E8" s="114">
        <f>ROUND(397*1.033,0)</f>
        <v>410</v>
      </c>
      <c r="F8" s="114">
        <f>E8*C8</f>
        <v>0</v>
      </c>
      <c r="G8" s="114">
        <f>ROUND((195+59)*1.033,0)</f>
        <v>262</v>
      </c>
      <c r="H8" s="114">
        <f>G8*C8*D8</f>
        <v>0</v>
      </c>
      <c r="I8" s="114">
        <f>ROUND(82*1.033,0)</f>
        <v>85</v>
      </c>
      <c r="J8" s="114">
        <f>I8*D8</f>
        <v>0</v>
      </c>
      <c r="K8" s="114">
        <f>F8+H8+J8</f>
        <v>0</v>
      </c>
      <c r="L8" s="114">
        <v>0</v>
      </c>
      <c r="M8" s="115">
        <f>K8*L8</f>
        <v>0</v>
      </c>
      <c r="O8" s="103"/>
      <c r="P8" s="116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</row>
    <row r="9" spans="2:34" ht="13" customHeight="1">
      <c r="B9" s="113" t="s">
        <v>72</v>
      </c>
      <c r="C9" s="114">
        <v>0</v>
      </c>
      <c r="D9" s="114">
        <v>0</v>
      </c>
      <c r="E9" s="114">
        <f>ROUND(435*1.033,0)</f>
        <v>449</v>
      </c>
      <c r="F9" s="114">
        <f>E9*C9</f>
        <v>0</v>
      </c>
      <c r="G9" s="114">
        <f>ROUND((84+49)*1.033,0)</f>
        <v>137</v>
      </c>
      <c r="H9" s="114">
        <f>G9*C9*D9</f>
        <v>0</v>
      </c>
      <c r="I9" s="114">
        <f>ROUND(55*1.033,0)</f>
        <v>57</v>
      </c>
      <c r="J9" s="114">
        <f>I9*D9</f>
        <v>0</v>
      </c>
      <c r="K9" s="114">
        <f>F9+H9+J9</f>
        <v>0</v>
      </c>
      <c r="L9" s="114">
        <v>0</v>
      </c>
      <c r="M9" s="115">
        <f>K9*L9</f>
        <v>0</v>
      </c>
      <c r="O9" s="103"/>
      <c r="P9" s="116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</row>
    <row r="10" spans="2:34" ht="13" customHeight="1">
      <c r="B10" s="113" t="s">
        <v>73</v>
      </c>
      <c r="C10" s="114">
        <v>0</v>
      </c>
      <c r="D10" s="114">
        <v>0</v>
      </c>
      <c r="E10" s="114">
        <f>ROUND(1836*1.033,0)</f>
        <v>1897</v>
      </c>
      <c r="F10" s="114">
        <f>E10*C10</f>
        <v>0</v>
      </c>
      <c r="G10" s="114">
        <f>ROUND((337+181)*1.033,0)</f>
        <v>535</v>
      </c>
      <c r="H10" s="114">
        <f>G10*C10*D10</f>
        <v>0</v>
      </c>
      <c r="I10" s="114">
        <f>ROUND(102*1.033,0)</f>
        <v>105</v>
      </c>
      <c r="J10" s="114">
        <f>I10*D10</f>
        <v>0</v>
      </c>
      <c r="K10" s="114">
        <f>F10+H10+J10</f>
        <v>0</v>
      </c>
      <c r="L10" s="114">
        <v>0</v>
      </c>
      <c r="M10" s="115">
        <f>K10*L10</f>
        <v>0</v>
      </c>
      <c r="O10" s="103"/>
      <c r="P10" s="116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</row>
    <row r="11" spans="2:34" ht="13" customHeight="1"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  <c r="O11" s="103"/>
      <c r="P11" s="116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</row>
    <row r="12" spans="2:34" ht="13" customHeight="1"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O12" s="103"/>
      <c r="P12" s="116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</row>
    <row r="13" spans="2:34" ht="13" customHeight="1">
      <c r="B13" s="108"/>
      <c r="C13" s="117"/>
      <c r="D13" s="117"/>
      <c r="E13" s="117"/>
      <c r="F13" s="117"/>
      <c r="G13" s="114"/>
      <c r="H13" s="114"/>
      <c r="I13" s="114"/>
      <c r="J13" s="114"/>
      <c r="K13" s="114"/>
      <c r="L13" s="114"/>
      <c r="M13" s="115"/>
      <c r="O13" s="103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</row>
    <row r="14" spans="2:34" ht="18" customHeight="1">
      <c r="B14" s="118"/>
      <c r="C14" s="119"/>
      <c r="D14" s="119"/>
      <c r="E14" s="119"/>
      <c r="F14" s="119"/>
      <c r="G14" s="120"/>
      <c r="H14" s="120"/>
      <c r="I14" s="120"/>
      <c r="J14" s="120"/>
      <c r="K14" s="120"/>
      <c r="L14" s="120"/>
      <c r="M14" s="121">
        <f>SUM(M7:M13)</f>
        <v>0</v>
      </c>
      <c r="O14" s="103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</row>
    <row r="16" spans="2:34" ht="12" customHeight="1">
      <c r="B16" s="96" t="s">
        <v>7</v>
      </c>
    </row>
    <row r="18" spans="2:34" ht="13" customHeight="1">
      <c r="B18" s="98"/>
      <c r="C18" s="99"/>
      <c r="D18" s="99"/>
      <c r="E18" s="100" t="s">
        <v>53</v>
      </c>
      <c r="F18" s="101"/>
      <c r="G18" s="100" t="s">
        <v>54</v>
      </c>
      <c r="H18" s="101"/>
      <c r="I18" s="100" t="s">
        <v>55</v>
      </c>
      <c r="J18" s="101"/>
      <c r="K18" s="99"/>
      <c r="L18" s="99"/>
      <c r="M18" s="102"/>
      <c r="O18" s="103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</row>
    <row r="19" spans="2:34" ht="13" customHeight="1">
      <c r="B19" s="104" t="s">
        <v>56</v>
      </c>
      <c r="C19" s="105" t="s">
        <v>57</v>
      </c>
      <c r="D19" s="105" t="s">
        <v>58</v>
      </c>
      <c r="E19" s="106" t="s">
        <v>59</v>
      </c>
      <c r="F19" s="106" t="s">
        <v>59</v>
      </c>
      <c r="G19" s="106" t="s">
        <v>59</v>
      </c>
      <c r="H19" s="106" t="s">
        <v>59</v>
      </c>
      <c r="I19" s="106" t="s">
        <v>59</v>
      </c>
      <c r="J19" s="106" t="s">
        <v>59</v>
      </c>
      <c r="K19" s="105" t="s">
        <v>60</v>
      </c>
      <c r="L19" s="105" t="s">
        <v>58</v>
      </c>
      <c r="M19" s="107" t="s">
        <v>61</v>
      </c>
      <c r="O19" s="103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</row>
    <row r="20" spans="2:34" ht="13" customHeight="1">
      <c r="B20" s="108"/>
      <c r="C20" s="105" t="s">
        <v>62</v>
      </c>
      <c r="D20" s="105" t="s">
        <v>63</v>
      </c>
      <c r="E20" s="105" t="s">
        <v>64</v>
      </c>
      <c r="F20" s="105" t="s">
        <v>65</v>
      </c>
      <c r="G20" s="105" t="s">
        <v>66</v>
      </c>
      <c r="H20" s="105" t="s">
        <v>65</v>
      </c>
      <c r="I20" s="105" t="s">
        <v>67</v>
      </c>
      <c r="J20" s="105" t="s">
        <v>65</v>
      </c>
      <c r="K20" s="105" t="s">
        <v>68</v>
      </c>
      <c r="L20" s="105" t="s">
        <v>69</v>
      </c>
      <c r="M20" s="107" t="s">
        <v>65</v>
      </c>
      <c r="O20" s="103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</row>
    <row r="21" spans="2:34" ht="13" customHeight="1"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1"/>
      <c r="O21" s="103"/>
      <c r="P21" s="97"/>
      <c r="Q21" s="97"/>
      <c r="R21" s="97"/>
      <c r="S21" s="112"/>
      <c r="T21" s="112"/>
      <c r="U21" s="112"/>
      <c r="V21" s="112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</row>
    <row r="22" spans="2:34" ht="13" customHeight="1">
      <c r="B22" s="113" t="s">
        <v>70</v>
      </c>
      <c r="C22" s="114">
        <v>0</v>
      </c>
      <c r="D22" s="114">
        <v>0</v>
      </c>
      <c r="E22" s="114">
        <f>ROUND(E7*1.033,0)</f>
        <v>274</v>
      </c>
      <c r="F22" s="114">
        <f>E22*C22</f>
        <v>0</v>
      </c>
      <c r="G22" s="114">
        <f>ROUND(G7*1.033,0)</f>
        <v>188</v>
      </c>
      <c r="H22" s="114">
        <f>G22*C22*D22</f>
        <v>0</v>
      </c>
      <c r="I22" s="114">
        <f>ROUND(I7*1.033,0)</f>
        <v>108</v>
      </c>
      <c r="J22" s="114">
        <f>I22*D22</f>
        <v>0</v>
      </c>
      <c r="K22" s="114">
        <f>F22+H22+J22</f>
        <v>0</v>
      </c>
      <c r="L22" s="114">
        <v>0</v>
      </c>
      <c r="M22" s="115">
        <f>K22*L22</f>
        <v>0</v>
      </c>
      <c r="O22" s="103"/>
      <c r="P22" s="116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</row>
    <row r="23" spans="2:34" ht="13" customHeight="1">
      <c r="B23" s="113" t="s">
        <v>71</v>
      </c>
      <c r="C23" s="114">
        <v>0</v>
      </c>
      <c r="D23" s="114">
        <v>0</v>
      </c>
      <c r="E23" s="114">
        <f>ROUND(E8*1.033,0)</f>
        <v>424</v>
      </c>
      <c r="F23" s="114">
        <f>E23*C23</f>
        <v>0</v>
      </c>
      <c r="G23" s="114">
        <f>ROUND(G8*1.033,0)</f>
        <v>271</v>
      </c>
      <c r="H23" s="114">
        <f>G23*C23*D23</f>
        <v>0</v>
      </c>
      <c r="I23" s="114">
        <f>ROUND(I8*1.033,0)</f>
        <v>88</v>
      </c>
      <c r="J23" s="114">
        <f>I23*D23</f>
        <v>0</v>
      </c>
      <c r="K23" s="114">
        <f>F23+H23+J23</f>
        <v>0</v>
      </c>
      <c r="L23" s="114">
        <v>0</v>
      </c>
      <c r="M23" s="115">
        <f>K23*L23</f>
        <v>0</v>
      </c>
      <c r="O23" s="103"/>
      <c r="P23" s="116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</row>
    <row r="24" spans="2:34" ht="13" customHeight="1">
      <c r="B24" s="113" t="s">
        <v>72</v>
      </c>
      <c r="C24" s="114">
        <v>0</v>
      </c>
      <c r="D24" s="114">
        <v>0</v>
      </c>
      <c r="E24" s="114">
        <f>ROUND(E9*1.033,0)</f>
        <v>464</v>
      </c>
      <c r="F24" s="114">
        <f>E24*C24</f>
        <v>0</v>
      </c>
      <c r="G24" s="114">
        <f>ROUND(G9*1.033,0)</f>
        <v>142</v>
      </c>
      <c r="H24" s="114">
        <f>G24*C24*D24</f>
        <v>0</v>
      </c>
      <c r="I24" s="114">
        <f>ROUND(I9*1.033,0)</f>
        <v>59</v>
      </c>
      <c r="J24" s="114">
        <f>I24*D24</f>
        <v>0</v>
      </c>
      <c r="K24" s="114">
        <f>F24+H24+J24</f>
        <v>0</v>
      </c>
      <c r="L24" s="114">
        <v>0</v>
      </c>
      <c r="M24" s="115">
        <f>K24*L24</f>
        <v>0</v>
      </c>
      <c r="O24" s="103"/>
      <c r="P24" s="116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</row>
    <row r="25" spans="2:34" ht="13" customHeight="1">
      <c r="B25" s="113" t="s">
        <v>73</v>
      </c>
      <c r="C25" s="114">
        <v>0</v>
      </c>
      <c r="D25" s="114">
        <v>0</v>
      </c>
      <c r="E25" s="114">
        <f>ROUND(E10*1.033,0)</f>
        <v>1960</v>
      </c>
      <c r="F25" s="114">
        <f>E25*C25</f>
        <v>0</v>
      </c>
      <c r="G25" s="114">
        <f>ROUND(G10*1.033,0)</f>
        <v>553</v>
      </c>
      <c r="H25" s="114">
        <f>G25*C25*D25</f>
        <v>0</v>
      </c>
      <c r="I25" s="114">
        <f>ROUND(I10*1.033,0)</f>
        <v>108</v>
      </c>
      <c r="J25" s="114">
        <f>I25*D25</f>
        <v>0</v>
      </c>
      <c r="K25" s="114">
        <f>F25+H25+J25</f>
        <v>0</v>
      </c>
      <c r="L25" s="114">
        <v>0</v>
      </c>
      <c r="M25" s="115">
        <f>K25*L25</f>
        <v>0</v>
      </c>
      <c r="O25" s="103"/>
      <c r="P25" s="116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</row>
    <row r="26" spans="2:34" ht="1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5"/>
      <c r="O26" s="103"/>
      <c r="P26" s="116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</row>
    <row r="27" spans="2:34" ht="13" customHeight="1"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5"/>
      <c r="O27" s="103"/>
      <c r="P27" s="116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</row>
    <row r="28" spans="2:34" ht="13" customHeight="1">
      <c r="B28" s="108"/>
      <c r="C28" s="117"/>
      <c r="D28" s="117"/>
      <c r="E28" s="117"/>
      <c r="F28" s="117"/>
      <c r="G28" s="114"/>
      <c r="H28" s="114"/>
      <c r="I28" s="114"/>
      <c r="J28" s="114"/>
      <c r="K28" s="114"/>
      <c r="L28" s="114"/>
      <c r="M28" s="115"/>
      <c r="O28" s="103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</row>
    <row r="29" spans="2:34" ht="18" customHeight="1">
      <c r="B29" s="118"/>
      <c r="C29" s="119"/>
      <c r="D29" s="119"/>
      <c r="E29" s="119"/>
      <c r="F29" s="119"/>
      <c r="G29" s="120"/>
      <c r="H29" s="120"/>
      <c r="I29" s="120"/>
      <c r="J29" s="120"/>
      <c r="K29" s="120"/>
      <c r="L29" s="120"/>
      <c r="M29" s="121">
        <f>SUM(M22:M28)</f>
        <v>0</v>
      </c>
      <c r="O29" s="103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</row>
    <row r="31" spans="2:34" ht="12" customHeight="1">
      <c r="B31" s="96" t="s">
        <v>8</v>
      </c>
    </row>
    <row r="32" spans="2:34" ht="14" customHeight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</row>
    <row r="33" spans="2:34" ht="13" customHeight="1">
      <c r="B33" s="98"/>
      <c r="C33" s="99"/>
      <c r="D33" s="99"/>
      <c r="E33" s="100" t="s">
        <v>53</v>
      </c>
      <c r="F33" s="101"/>
      <c r="G33" s="100" t="s">
        <v>54</v>
      </c>
      <c r="H33" s="101"/>
      <c r="I33" s="100" t="s">
        <v>55</v>
      </c>
      <c r="J33" s="101"/>
      <c r="K33" s="99"/>
      <c r="L33" s="99"/>
      <c r="M33" s="102"/>
      <c r="O33" s="103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</row>
    <row r="34" spans="2:34" ht="13" customHeight="1">
      <c r="B34" s="104" t="s">
        <v>56</v>
      </c>
      <c r="C34" s="105" t="s">
        <v>57</v>
      </c>
      <c r="D34" s="105" t="s">
        <v>58</v>
      </c>
      <c r="E34" s="106" t="s">
        <v>59</v>
      </c>
      <c r="F34" s="106" t="s">
        <v>59</v>
      </c>
      <c r="G34" s="106" t="s">
        <v>59</v>
      </c>
      <c r="H34" s="106" t="s">
        <v>59</v>
      </c>
      <c r="I34" s="106" t="s">
        <v>59</v>
      </c>
      <c r="J34" s="106" t="s">
        <v>59</v>
      </c>
      <c r="K34" s="105" t="s">
        <v>60</v>
      </c>
      <c r="L34" s="105" t="s">
        <v>58</v>
      </c>
      <c r="M34" s="107" t="s">
        <v>61</v>
      </c>
      <c r="O34" s="103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</row>
    <row r="35" spans="2:34" ht="13" customHeight="1">
      <c r="B35" s="108"/>
      <c r="C35" s="105" t="s">
        <v>62</v>
      </c>
      <c r="D35" s="105" t="s">
        <v>63</v>
      </c>
      <c r="E35" s="105" t="s">
        <v>64</v>
      </c>
      <c r="F35" s="105" t="s">
        <v>65</v>
      </c>
      <c r="G35" s="105" t="s">
        <v>66</v>
      </c>
      <c r="H35" s="105" t="s">
        <v>65</v>
      </c>
      <c r="I35" s="105" t="s">
        <v>67</v>
      </c>
      <c r="J35" s="105" t="s">
        <v>65</v>
      </c>
      <c r="K35" s="105" t="s">
        <v>68</v>
      </c>
      <c r="L35" s="105" t="s">
        <v>69</v>
      </c>
      <c r="M35" s="107" t="s">
        <v>65</v>
      </c>
      <c r="O35" s="103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</row>
    <row r="36" spans="2:34" ht="13" customHeight="1"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O36" s="103"/>
      <c r="P36" s="97"/>
      <c r="Q36" s="97"/>
      <c r="R36" s="97"/>
      <c r="S36" s="112"/>
      <c r="T36" s="112"/>
      <c r="U36" s="112"/>
      <c r="V36" s="112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</row>
    <row r="37" spans="2:34" ht="13" customHeight="1">
      <c r="B37" s="113" t="s">
        <v>70</v>
      </c>
      <c r="C37" s="114">
        <v>0</v>
      </c>
      <c r="D37" s="114">
        <v>0</v>
      </c>
      <c r="E37" s="114">
        <f>ROUND(E22*1.033,0)</f>
        <v>283</v>
      </c>
      <c r="F37" s="114">
        <f>E37*C37</f>
        <v>0</v>
      </c>
      <c r="G37" s="114">
        <f>ROUND(G22*1.033,0)</f>
        <v>194</v>
      </c>
      <c r="H37" s="114">
        <f>G37*C37*D37</f>
        <v>0</v>
      </c>
      <c r="I37" s="114">
        <f>ROUND(I22*1.033,0)</f>
        <v>112</v>
      </c>
      <c r="J37" s="114">
        <f>I37*D37</f>
        <v>0</v>
      </c>
      <c r="K37" s="114">
        <f>F37+H37+J37</f>
        <v>0</v>
      </c>
      <c r="L37" s="114">
        <v>0</v>
      </c>
      <c r="M37" s="115">
        <f>K37*L37</f>
        <v>0</v>
      </c>
      <c r="O37" s="103"/>
      <c r="P37" s="116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</row>
    <row r="38" spans="2:34" ht="13" customHeight="1">
      <c r="B38" s="113" t="s">
        <v>71</v>
      </c>
      <c r="C38" s="114">
        <v>0</v>
      </c>
      <c r="D38" s="114">
        <v>0</v>
      </c>
      <c r="E38" s="114">
        <f>ROUND(E23*1.033,0)</f>
        <v>438</v>
      </c>
      <c r="F38" s="114">
        <f>E38*C38</f>
        <v>0</v>
      </c>
      <c r="G38" s="114">
        <f>ROUND(G23*1.033,0)</f>
        <v>280</v>
      </c>
      <c r="H38" s="114">
        <f>G38*C38*D38</f>
        <v>0</v>
      </c>
      <c r="I38" s="114">
        <f>ROUND(I23*1.033,0)</f>
        <v>91</v>
      </c>
      <c r="J38" s="114">
        <f>I38*D38</f>
        <v>0</v>
      </c>
      <c r="K38" s="114">
        <f>F38+H38+J38</f>
        <v>0</v>
      </c>
      <c r="L38" s="114">
        <v>0</v>
      </c>
      <c r="M38" s="115">
        <f>K38*L38</f>
        <v>0</v>
      </c>
      <c r="O38" s="103"/>
      <c r="P38" s="116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</row>
    <row r="39" spans="2:34" ht="13" customHeight="1">
      <c r="B39" s="113" t="s">
        <v>72</v>
      </c>
      <c r="C39" s="114">
        <v>0</v>
      </c>
      <c r="D39" s="114">
        <v>0</v>
      </c>
      <c r="E39" s="114">
        <f>ROUND(E24*1.033,0)</f>
        <v>479</v>
      </c>
      <c r="F39" s="114">
        <f>E39*C39</f>
        <v>0</v>
      </c>
      <c r="G39" s="114">
        <f>ROUND(G24*1.033,0)</f>
        <v>147</v>
      </c>
      <c r="H39" s="114">
        <f>G39*C39*D39</f>
        <v>0</v>
      </c>
      <c r="I39" s="114">
        <f>ROUND(I24*1.033,0)</f>
        <v>61</v>
      </c>
      <c r="J39" s="114">
        <f>I39*D39</f>
        <v>0</v>
      </c>
      <c r="K39" s="114">
        <f>F39+H39+J39</f>
        <v>0</v>
      </c>
      <c r="L39" s="114">
        <v>0</v>
      </c>
      <c r="M39" s="115">
        <f>K39*L39</f>
        <v>0</v>
      </c>
      <c r="O39" s="103"/>
      <c r="P39" s="116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</row>
    <row r="40" spans="2:34" ht="13" customHeight="1">
      <c r="B40" s="113" t="s">
        <v>73</v>
      </c>
      <c r="C40" s="114">
        <v>0</v>
      </c>
      <c r="D40" s="114">
        <v>0</v>
      </c>
      <c r="E40" s="114">
        <f>ROUND(E25*1.033,0)</f>
        <v>2025</v>
      </c>
      <c r="F40" s="114">
        <f>E40*C40</f>
        <v>0</v>
      </c>
      <c r="G40" s="114">
        <f>ROUND(G25*1.033,0)</f>
        <v>571</v>
      </c>
      <c r="H40" s="114">
        <f>G40*C40*D40</f>
        <v>0</v>
      </c>
      <c r="I40" s="114">
        <f>ROUND(I25*1.033,0)</f>
        <v>112</v>
      </c>
      <c r="J40" s="114">
        <f>I40*D40</f>
        <v>0</v>
      </c>
      <c r="K40" s="114">
        <f>F40+H40+J40</f>
        <v>0</v>
      </c>
      <c r="L40" s="114">
        <v>0</v>
      </c>
      <c r="M40" s="115">
        <f>K40*L40</f>
        <v>0</v>
      </c>
      <c r="O40" s="103"/>
      <c r="P40" s="116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</row>
    <row r="41" spans="2:34" ht="13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5"/>
      <c r="O41" s="103"/>
      <c r="P41" s="116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</row>
    <row r="42" spans="2:34" ht="13" customHeight="1"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5"/>
      <c r="O42" s="103"/>
      <c r="P42" s="116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</row>
    <row r="43" spans="2:34" ht="13" customHeight="1">
      <c r="B43" s="108"/>
      <c r="C43" s="117"/>
      <c r="D43" s="117"/>
      <c r="E43" s="117"/>
      <c r="F43" s="117"/>
      <c r="G43" s="114"/>
      <c r="H43" s="114"/>
      <c r="I43" s="114"/>
      <c r="J43" s="114"/>
      <c r="K43" s="114"/>
      <c r="L43" s="114"/>
      <c r="M43" s="115"/>
      <c r="O43" s="103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</row>
    <row r="44" spans="2:34" ht="18" customHeight="1">
      <c r="B44" s="118"/>
      <c r="C44" s="119"/>
      <c r="D44" s="119"/>
      <c r="E44" s="119"/>
      <c r="F44" s="119"/>
      <c r="G44" s="120"/>
      <c r="H44" s="120"/>
      <c r="I44" s="120"/>
      <c r="J44" s="120"/>
      <c r="K44" s="120"/>
      <c r="L44" s="120"/>
      <c r="M44" s="121">
        <f>SUM(M37:M43)</f>
        <v>0</v>
      </c>
      <c r="O44" s="103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2" x14ac:dyDescent="0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cdiazsil</dc:creator>
  <cp:lastModifiedBy>Craig Kulesa</cp:lastModifiedBy>
  <cp:revision>0</cp:revision>
  <cp:lastPrinted>2013-11-02T00:36:57Z</cp:lastPrinted>
  <dcterms:created xsi:type="dcterms:W3CDTF">2007-04-19T20:45:21Z</dcterms:created>
  <dcterms:modified xsi:type="dcterms:W3CDTF">2013-11-02T01:22:48Z</dcterms:modified>
</cp:coreProperties>
</file>