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OBO - GRANTS MANAGEMENT\Pre Award\Proposals\Walker, Chris\NASA\2017 NASA APRA LBR\"/>
    </mc:Choice>
  </mc:AlternateContent>
  <bookViews>
    <workbookView xWindow="0" yWindow="0" windowWidth="22200" windowHeight="12885" tabRatio="304"/>
  </bookViews>
  <sheets>
    <sheet name="Sheet2" sheetId="1" r:id="rId1"/>
    <sheet name="Sheet1" sheetId="2" r:id="rId2"/>
  </sheets>
  <definedNames>
    <definedName name="_xlnm.Print_Area" localSheetId="0">Sheet2!$A$1:$O$80</definedName>
  </definedNames>
  <calcPr calcId="152511"/>
</workbook>
</file>

<file path=xl/calcChain.xml><?xml version="1.0" encoding="utf-8"?>
<calcChain xmlns="http://schemas.openxmlformats.org/spreadsheetml/2006/main">
  <c r="N35" i="1" l="1"/>
  <c r="N34" i="1"/>
  <c r="N33" i="1"/>
  <c r="K35" i="1"/>
  <c r="K34" i="1"/>
  <c r="K33" i="1"/>
  <c r="H34" i="1"/>
  <c r="H33" i="1"/>
  <c r="T30" i="1"/>
  <c r="S30" i="1"/>
  <c r="R30" i="1"/>
  <c r="Q30" i="1"/>
  <c r="T21" i="1"/>
  <c r="T19" i="1"/>
  <c r="T18" i="1"/>
  <c r="S21" i="1"/>
  <c r="S19" i="1"/>
  <c r="S18" i="1"/>
  <c r="R21" i="1"/>
  <c r="R19" i="1"/>
  <c r="R18" i="1"/>
  <c r="Q21" i="1"/>
  <c r="Q19" i="1"/>
  <c r="Q18" i="1"/>
  <c r="T17" i="1"/>
  <c r="S17" i="1"/>
  <c r="R17" i="1"/>
  <c r="Q17" i="1"/>
  <c r="T14" i="1"/>
  <c r="S14" i="1"/>
  <c r="R14" i="1"/>
  <c r="Q14" i="1"/>
  <c r="T13" i="1"/>
  <c r="S13" i="1"/>
  <c r="R13" i="1"/>
  <c r="Q13" i="1"/>
  <c r="T12" i="1"/>
  <c r="S12" i="1"/>
  <c r="R12" i="1"/>
  <c r="Q12" i="1"/>
  <c r="R77" i="1"/>
  <c r="H47" i="1" l="1"/>
  <c r="K47" i="1" l="1"/>
  <c r="N47" i="1" s="1"/>
  <c r="H48" i="1"/>
  <c r="J31" i="1"/>
  <c r="J13" i="1"/>
  <c r="G13" i="1"/>
  <c r="G31" i="1" s="1"/>
  <c r="F13" i="1"/>
  <c r="H13" i="1" s="1"/>
  <c r="H77" i="1"/>
  <c r="M13" i="1" l="1"/>
  <c r="M31" i="1" s="1"/>
  <c r="O59" i="1"/>
  <c r="O70" i="1" l="1"/>
  <c r="O68" i="1"/>
  <c r="O69" i="1"/>
  <c r="O44" i="1" l="1"/>
  <c r="I24" i="1" l="1"/>
  <c r="L24" i="1" s="1"/>
  <c r="N24" i="1" s="1"/>
  <c r="H24" i="1"/>
  <c r="I23" i="1"/>
  <c r="L23" i="1" s="1"/>
  <c r="N23" i="1" s="1"/>
  <c r="H23" i="1"/>
  <c r="K24" i="1" l="1"/>
  <c r="O24" i="1" s="1"/>
  <c r="K23" i="1"/>
  <c r="I20" i="1"/>
  <c r="L20" i="1" s="1"/>
  <c r="N20" i="1" s="1"/>
  <c r="H20" i="1"/>
  <c r="O23" i="1" l="1"/>
  <c r="K20" i="1"/>
  <c r="O20" i="1" s="1"/>
  <c r="O60" i="1"/>
  <c r="I28" i="1"/>
  <c r="L28" i="1" s="1"/>
  <c r="N28" i="1" s="1"/>
  <c r="H28" i="1"/>
  <c r="K28" i="1" l="1"/>
  <c r="O28" i="1" l="1"/>
  <c r="G8" i="2"/>
  <c r="G18" i="2"/>
  <c r="G7" i="2"/>
  <c r="G17" i="2"/>
  <c r="J38" i="2"/>
  <c r="J37" i="2"/>
  <c r="O62" i="1" l="1"/>
  <c r="K46" i="1"/>
  <c r="N46" i="1" s="1"/>
  <c r="O46" i="1" s="1"/>
  <c r="I13" i="1" l="1"/>
  <c r="L13" i="1" l="1"/>
  <c r="N13" i="1" s="1"/>
  <c r="K13" i="1"/>
  <c r="J39" i="2"/>
  <c r="G29" i="2"/>
  <c r="G28" i="2"/>
  <c r="G19" i="2"/>
  <c r="O13" i="1" l="1"/>
  <c r="F21" i="1"/>
  <c r="F19" i="1"/>
  <c r="F18" i="1"/>
  <c r="F17" i="1"/>
  <c r="F14" i="1"/>
  <c r="F12" i="1"/>
  <c r="O63" i="1" l="1"/>
  <c r="G49" i="2"/>
  <c r="K47" i="2"/>
  <c r="N47" i="2" s="1"/>
  <c r="K48" i="2"/>
  <c r="N48" i="2" s="1"/>
  <c r="K49" i="2"/>
  <c r="N49" i="2" s="1"/>
  <c r="K50" i="2"/>
  <c r="H51" i="2"/>
  <c r="J7" i="2"/>
  <c r="J9" i="2"/>
  <c r="G10" i="2"/>
  <c r="G11" i="2" s="1"/>
  <c r="K7" i="2"/>
  <c r="N7" i="2" s="1"/>
  <c r="K8" i="2"/>
  <c r="N8" i="2" s="1"/>
  <c r="K9" i="2"/>
  <c r="N9" i="2" s="1"/>
  <c r="K10" i="2"/>
  <c r="N10" i="2" s="1"/>
  <c r="J17" i="2"/>
  <c r="M17" i="2" s="1"/>
  <c r="J19" i="2"/>
  <c r="M19" i="2" s="1"/>
  <c r="G20" i="2"/>
  <c r="J20" i="2" s="1"/>
  <c r="K17" i="2"/>
  <c r="N17" i="2" s="1"/>
  <c r="K18" i="2"/>
  <c r="N18" i="2" s="1"/>
  <c r="K19" i="2"/>
  <c r="N19" i="2" s="1"/>
  <c r="K20" i="2"/>
  <c r="N20" i="2" s="1"/>
  <c r="G27" i="2"/>
  <c r="J27" i="2" s="1"/>
  <c r="J28" i="2"/>
  <c r="M28" i="2" s="1"/>
  <c r="J29" i="2"/>
  <c r="M29" i="2" s="1"/>
  <c r="G30" i="2"/>
  <c r="J30" i="2" s="1"/>
  <c r="K27" i="2"/>
  <c r="N27" i="2" s="1"/>
  <c r="K28" i="2"/>
  <c r="N28" i="2" s="1"/>
  <c r="K29" i="2"/>
  <c r="N29" i="2" s="1"/>
  <c r="K30" i="2"/>
  <c r="N30" i="2" s="1"/>
  <c r="M37" i="2"/>
  <c r="M38" i="2"/>
  <c r="M39" i="2"/>
  <c r="J40" i="2"/>
  <c r="M40" i="2" s="1"/>
  <c r="K37" i="2"/>
  <c r="K38" i="2"/>
  <c r="N38" i="2" s="1"/>
  <c r="K39" i="2"/>
  <c r="N39" i="2" s="1"/>
  <c r="K40" i="2"/>
  <c r="N40" i="2" s="1"/>
  <c r="H11" i="2"/>
  <c r="H21" i="2"/>
  <c r="H31" i="2"/>
  <c r="G37" i="2"/>
  <c r="G41" i="2" s="1"/>
  <c r="H41" i="2"/>
  <c r="O45" i="1"/>
  <c r="O43" i="1"/>
  <c r="H19" i="1"/>
  <c r="I19" i="1"/>
  <c r="K19" i="1" s="1"/>
  <c r="H17" i="1"/>
  <c r="I17" i="1"/>
  <c r="L17" i="1" s="1"/>
  <c r="N17" i="1" s="1"/>
  <c r="H18" i="1"/>
  <c r="I18" i="1"/>
  <c r="K18" i="1" s="1"/>
  <c r="H14" i="1"/>
  <c r="I14" i="1"/>
  <c r="L14" i="1" s="1"/>
  <c r="N14" i="1" s="1"/>
  <c r="O67" i="1"/>
  <c r="O39" i="1"/>
  <c r="H30" i="1"/>
  <c r="H35" i="1" s="1"/>
  <c r="I30" i="1"/>
  <c r="K30" i="1" s="1"/>
  <c r="I35" i="1"/>
  <c r="L35" i="1"/>
  <c r="I26" i="1"/>
  <c r="L26" i="1" s="1"/>
  <c r="N26" i="1" s="1"/>
  <c r="I27" i="1"/>
  <c r="L34" i="1"/>
  <c r="I34" i="1"/>
  <c r="H26" i="1"/>
  <c r="H27" i="1"/>
  <c r="I11" i="1"/>
  <c r="K11" i="1" s="1"/>
  <c r="I12" i="1"/>
  <c r="L12" i="1" s="1"/>
  <c r="N12" i="1" s="1"/>
  <c r="I16" i="1"/>
  <c r="I21" i="1"/>
  <c r="K21" i="1" s="1"/>
  <c r="I33" i="1"/>
  <c r="H11" i="1"/>
  <c r="H12" i="1"/>
  <c r="H16" i="1"/>
  <c r="H21" i="1"/>
  <c r="K75" i="1"/>
  <c r="K54" i="1"/>
  <c r="N54" i="1" s="1"/>
  <c r="O54" i="1" s="1"/>
  <c r="K53" i="1"/>
  <c r="N53" i="1" s="1"/>
  <c r="K52" i="1"/>
  <c r="N52" i="1" s="1"/>
  <c r="O52" i="1" s="1"/>
  <c r="K51" i="1"/>
  <c r="M55" i="1"/>
  <c r="K41" i="1"/>
  <c r="N41" i="1" s="1"/>
  <c r="O77" i="1"/>
  <c r="H75" i="1"/>
  <c r="N72" i="1"/>
  <c r="K72" i="1"/>
  <c r="K76" i="1" s="1"/>
  <c r="H72" i="1"/>
  <c r="O71" i="1"/>
  <c r="O66" i="1"/>
  <c r="N64" i="1"/>
  <c r="K64" i="1"/>
  <c r="H64" i="1"/>
  <c r="O61" i="1"/>
  <c r="O58" i="1"/>
  <c r="L33" i="1"/>
  <c r="H55" i="1"/>
  <c r="G55" i="1"/>
  <c r="N76" i="1" l="1"/>
  <c r="H76" i="1"/>
  <c r="H31" i="1"/>
  <c r="G12" i="2"/>
  <c r="J49" i="2"/>
  <c r="O19" i="2"/>
  <c r="O28" i="2"/>
  <c r="G42" i="2"/>
  <c r="J41" i="2"/>
  <c r="K26" i="1"/>
  <c r="O26" i="1" s="1"/>
  <c r="O40" i="2"/>
  <c r="O29" i="2"/>
  <c r="G50" i="2"/>
  <c r="K11" i="2"/>
  <c r="O39" i="2"/>
  <c r="K31" i="2"/>
  <c r="S43" i="2"/>
  <c r="G21" i="2"/>
  <c r="G22" i="2" s="1"/>
  <c r="K21" i="2"/>
  <c r="G47" i="2"/>
  <c r="O38" i="2"/>
  <c r="M9" i="2"/>
  <c r="M49" i="2" s="1"/>
  <c r="O49" i="2" s="1"/>
  <c r="J55" i="1"/>
  <c r="O41" i="1"/>
  <c r="O53" i="1"/>
  <c r="G56" i="1"/>
  <c r="L11" i="1"/>
  <c r="N11" i="1" s="1"/>
  <c r="O72" i="1"/>
  <c r="K48" i="1"/>
  <c r="L30" i="1"/>
  <c r="N30" i="1" s="1"/>
  <c r="O40" i="1"/>
  <c r="O42" i="1"/>
  <c r="N51" i="1"/>
  <c r="N55" i="1" s="1"/>
  <c r="M56" i="1" s="1"/>
  <c r="N75" i="1"/>
  <c r="O75" i="1" s="1"/>
  <c r="L21" i="1"/>
  <c r="N21" i="1" s="1"/>
  <c r="O21" i="1" s="1"/>
  <c r="L19" i="1"/>
  <c r="N19" i="1" s="1"/>
  <c r="O19" i="1" s="1"/>
  <c r="L18" i="1"/>
  <c r="N18" i="1" s="1"/>
  <c r="K17" i="1"/>
  <c r="O17" i="1" s="1"/>
  <c r="K14" i="1"/>
  <c r="O14" i="1" s="1"/>
  <c r="K12" i="1"/>
  <c r="K16" i="1"/>
  <c r="L16" i="1"/>
  <c r="N16" i="1" s="1"/>
  <c r="K27" i="1"/>
  <c r="L27" i="1"/>
  <c r="N27" i="1" s="1"/>
  <c r="N37" i="2"/>
  <c r="K41" i="2"/>
  <c r="J42" i="2" s="1"/>
  <c r="N31" i="2"/>
  <c r="N21" i="2"/>
  <c r="N11" i="2"/>
  <c r="M41" i="2"/>
  <c r="G48" i="2"/>
  <c r="J8" i="2"/>
  <c r="N50" i="2"/>
  <c r="N51" i="2" s="1"/>
  <c r="K51" i="2"/>
  <c r="J18" i="2"/>
  <c r="M18" i="2" s="1"/>
  <c r="O64" i="1"/>
  <c r="G31" i="2"/>
  <c r="G32" i="2" s="1"/>
  <c r="M30" i="2"/>
  <c r="O30" i="2" s="1"/>
  <c r="M27" i="2"/>
  <c r="J31" i="2"/>
  <c r="M20" i="2"/>
  <c r="O20" i="2" s="1"/>
  <c r="J47" i="2"/>
  <c r="M7" i="2"/>
  <c r="O7" i="2" s="1"/>
  <c r="K55" i="1"/>
  <c r="O17" i="2"/>
  <c r="J10" i="2"/>
  <c r="K31" i="1" l="1"/>
  <c r="O11" i="1"/>
  <c r="N31" i="1"/>
  <c r="N36" i="1"/>
  <c r="J32" i="2"/>
  <c r="O32" i="2" s="1"/>
  <c r="J11" i="2"/>
  <c r="J12" i="2" s="1"/>
  <c r="G51" i="2"/>
  <c r="O34" i="1"/>
  <c r="M21" i="2"/>
  <c r="M22" i="2" s="1"/>
  <c r="O9" i="2"/>
  <c r="M31" i="2"/>
  <c r="M32" i="2" s="1"/>
  <c r="O35" i="1"/>
  <c r="J56" i="1"/>
  <c r="O56" i="1" s="1"/>
  <c r="O76" i="1"/>
  <c r="O16" i="1"/>
  <c r="O51" i="1"/>
  <c r="O18" i="2"/>
  <c r="J21" i="2"/>
  <c r="J22" i="2" s="1"/>
  <c r="N48" i="1"/>
  <c r="O48" i="1" s="1"/>
  <c r="O47" i="1"/>
  <c r="O30" i="1"/>
  <c r="O12" i="1"/>
  <c r="O18" i="1"/>
  <c r="M8" i="2"/>
  <c r="J48" i="2"/>
  <c r="J50" i="2"/>
  <c r="M10" i="2"/>
  <c r="M50" i="2" s="1"/>
  <c r="O10" i="2"/>
  <c r="M47" i="2"/>
  <c r="O47" i="2" s="1"/>
  <c r="O27" i="2"/>
  <c r="H36" i="1"/>
  <c r="G52" i="2"/>
  <c r="N41" i="2"/>
  <c r="M42" i="2" s="1"/>
  <c r="O42" i="2" s="1"/>
  <c r="O37" i="2"/>
  <c r="O27" i="1"/>
  <c r="J51" i="2" l="1"/>
  <c r="K36" i="1"/>
  <c r="O36" i="1" s="1"/>
  <c r="O22" i="2"/>
  <c r="J52" i="2"/>
  <c r="N37" i="1"/>
  <c r="N74" i="1" s="1"/>
  <c r="N78" i="1" s="1"/>
  <c r="N79" i="1" s="1"/>
  <c r="N80" i="1" s="1"/>
  <c r="O33" i="1"/>
  <c r="M48" i="2"/>
  <c r="O48" i="2" s="1"/>
  <c r="O8" i="2"/>
  <c r="M11" i="2"/>
  <c r="M12" i="2" s="1"/>
  <c r="H37" i="1"/>
  <c r="O31" i="1"/>
  <c r="O50" i="2"/>
  <c r="K37" i="1" l="1"/>
  <c r="K74" i="1" s="1"/>
  <c r="K78" i="1" s="1"/>
  <c r="K79" i="1" s="1"/>
  <c r="K80" i="1" s="1"/>
  <c r="M51" i="2"/>
  <c r="H74" i="1"/>
  <c r="M52" i="2"/>
  <c r="O52" i="2" s="1"/>
  <c r="O12" i="2"/>
  <c r="O37" i="1" l="1"/>
  <c r="O74" i="1"/>
  <c r="H78" i="1"/>
  <c r="H79" i="1" l="1"/>
  <c r="O78" i="1"/>
  <c r="O79" i="1" l="1"/>
  <c r="H80" i="1"/>
  <c r="O80" i="1" s="1"/>
  <c r="Q43" i="1" l="1"/>
  <c r="R80" i="1"/>
</calcChain>
</file>

<file path=xl/sharedStrings.xml><?xml version="1.0" encoding="utf-8"?>
<sst xmlns="http://schemas.openxmlformats.org/spreadsheetml/2006/main" count="228" uniqueCount="121">
  <si>
    <t>ORGANIZATION</t>
  </si>
  <si>
    <t>Arizona Board of Regents, The University of Arizona</t>
  </si>
  <si>
    <t>DEPARTMENT/UNIT</t>
  </si>
  <si>
    <t>Department of Astronomy/Steward Observatory</t>
  </si>
  <si>
    <t>SPONSOR</t>
  </si>
  <si>
    <t>PROJECT TITLE</t>
  </si>
  <si>
    <t>PI</t>
  </si>
  <si>
    <t>PERFORMANCE PERIOD</t>
  </si>
  <si>
    <t>PERSONNEL</t>
  </si>
  <si>
    <t>Labor</t>
  </si>
  <si>
    <t>Rate</t>
  </si>
  <si>
    <t>Hrs.</t>
  </si>
  <si>
    <t>Subtotal</t>
  </si>
  <si>
    <t>Senior Personnel</t>
  </si>
  <si>
    <t>(1) Graduate Research Assistant- AY (9 mos) @ 50% FTE</t>
  </si>
  <si>
    <t>(1) Graduate Research Assistant-summer (3mos) @ full time</t>
  </si>
  <si>
    <t>LABOR SUBTOTAL:</t>
  </si>
  <si>
    <t>YEAR 1</t>
  </si>
  <si>
    <t>YEAR 2</t>
  </si>
  <si>
    <t>FRINGE BENEFITS (ERE) SUBTOTAL:</t>
  </si>
  <si>
    <t>LABOR + ERE TOTAL</t>
  </si>
  <si>
    <t>TRAVEL</t>
  </si>
  <si>
    <t>Domestic</t>
  </si>
  <si>
    <t>International</t>
  </si>
  <si>
    <t>Per Diem:</t>
  </si>
  <si>
    <t>Ground Transportation:</t>
  </si>
  <si>
    <t>TOTAL PER TRIP:</t>
  </si>
  <si>
    <t>TRAVEL TOTAL:</t>
  </si>
  <si>
    <t>OPERATIONS/OTHER DIRECT COSTS</t>
  </si>
  <si>
    <t>Graduate Student Tuition Remission</t>
  </si>
  <si>
    <t>SUBTOTAL OPERATIONS/OTHER DIRECT COST:</t>
  </si>
  <si>
    <t>TOTAL PROJECT COSTS</t>
  </si>
  <si>
    <t>CUMMULATIVE  TOTALS</t>
  </si>
  <si>
    <t>Appointed Personnel</t>
  </si>
  <si>
    <t>Postdoctoral Scholar</t>
  </si>
  <si>
    <t xml:space="preserve"> </t>
  </si>
  <si>
    <t>CAPITAL EQUIPMENT</t>
  </si>
  <si>
    <t>YEAR 3</t>
  </si>
  <si>
    <t>SUBTOTAL CAPITAL EQUIPMENT:</t>
  </si>
  <si>
    <t>Non-Capital Computing Equipment</t>
  </si>
  <si>
    <r>
      <t>FRINGE BENEFITS (ERE)</t>
    </r>
    <r>
      <rPr>
        <sz val="9"/>
        <color rgb="FF000082"/>
        <rFont val="Calibri"/>
        <family val="2"/>
        <charset val="1"/>
      </rPr>
      <t xml:space="preserve"> - Rates effective 7/1/16 and beyond</t>
    </r>
  </si>
  <si>
    <t>Conference Registration Fees</t>
  </si>
  <si>
    <t xml:space="preserve">Lodging: </t>
  </si>
  <si>
    <t>SUBAWARDS</t>
  </si>
  <si>
    <t>SUBTOTAL SUBAWARDS:</t>
  </si>
  <si>
    <t>Employee Full-Benefit</t>
  </si>
  <si>
    <t>Graduate Assistants</t>
  </si>
  <si>
    <t>Undergraduate Student Employees</t>
  </si>
  <si>
    <t>Other Exclusions</t>
  </si>
  <si>
    <t>Subaward 25K Add In</t>
  </si>
  <si>
    <t>MTDC</t>
  </si>
  <si>
    <t>DIRECT COSTS</t>
  </si>
  <si>
    <t>Less Tuition Remission</t>
  </si>
  <si>
    <t>INDIRECT COSTS (53.5% Effective 7/1/16 and beyond)</t>
  </si>
  <si>
    <t>HIDE CELLS NOT USED</t>
  </si>
  <si>
    <t>Enter Inflation Rate Here:</t>
  </si>
  <si>
    <t>Enter Tuition Inflation Here</t>
  </si>
  <si>
    <t>Undergraduate Student Employee</t>
  </si>
  <si>
    <t xml:space="preserve">Airfare: </t>
  </si>
  <si>
    <t>Brian Duffy, Project manager</t>
  </si>
  <si>
    <t>Abram Young, Instrument Scientist</t>
  </si>
  <si>
    <t>William (Bill) Peters, Science Programmer</t>
  </si>
  <si>
    <t>Ruben Dominguez, Mechanical Engineer</t>
  </si>
  <si>
    <t>Principal Investigator, Christopher Walker</t>
  </si>
  <si>
    <t>Co-Principal Investigator, Craig Kulesa</t>
  </si>
  <si>
    <t>Jet Propulsion Laboratory (JPL)</t>
  </si>
  <si>
    <t>SouthWest Research Institute</t>
  </si>
  <si>
    <t>Johns Hopkins Applied  Physics Laboratory</t>
  </si>
  <si>
    <t>Electronic Components, connectors, cabling, cryogenics, gases</t>
  </si>
  <si>
    <t>Machining Services</t>
  </si>
  <si>
    <t>Shipping</t>
  </si>
  <si>
    <t>Ground Transportation: 1 car, 3 dys</t>
  </si>
  <si>
    <t>TRAVEL To SWRI, San Antonio TX</t>
  </si>
  <si>
    <t>TRAVEL To JPL, Pasadena, CA</t>
  </si>
  <si>
    <t>TRAVEL To APL, Columbia, MD</t>
  </si>
  <si>
    <t>TRAVEL Science Campaign 2019, Ft Sumner, NM</t>
  </si>
  <si>
    <t>YEAR 1 -2018</t>
  </si>
  <si>
    <t>YEAR 2 - 2019</t>
  </si>
  <si>
    <t>YEAR 3 - 2020</t>
  </si>
  <si>
    <t>Lodging:  3p X 2N   Sheraton@150</t>
  </si>
  <si>
    <t>Airfare: RT 250</t>
  </si>
  <si>
    <t>Airfare:  3p RT @ 500</t>
  </si>
  <si>
    <t>Airfare: 3p RT 450</t>
  </si>
  <si>
    <t xml:space="preserve">Ground Transportation: 2 car, 75 dys </t>
  </si>
  <si>
    <t>LARGE BALLOON REFLECTOR (LBR):  Science and Technology Proposal</t>
  </si>
  <si>
    <t>Christopher Walker</t>
  </si>
  <si>
    <t>PER DIEM $106 / $54</t>
  </si>
  <si>
    <t>PER DIEM $150 / $54</t>
  </si>
  <si>
    <t>Lodging: 3p X 2N  Doubletree@106</t>
  </si>
  <si>
    <t>PER DIEM $120 / $54</t>
  </si>
  <si>
    <t>Lodging:  3p X 2N   Hilton@120</t>
  </si>
  <si>
    <t>PER DIEM $99 / $54</t>
  </si>
  <si>
    <t>Per Diem @ 54:</t>
  </si>
  <si>
    <t>Per Diem @54:</t>
  </si>
  <si>
    <t>Co- Investigator, Summer, Michael Hart</t>
  </si>
  <si>
    <t>Bias control system</t>
  </si>
  <si>
    <t>Airfare:12 RT TIA to ABQ  @ 350</t>
  </si>
  <si>
    <r>
      <t xml:space="preserve">Lodging: 10p X 45 dy @ Super8 @ </t>
    </r>
    <r>
      <rPr>
        <sz val="10"/>
        <color rgb="FF00B050"/>
        <rFont val="Calibri"/>
        <family val="2"/>
      </rPr>
      <t>85</t>
    </r>
  </si>
  <si>
    <t>(2) Graduate Research Assistant- AY (9 mos) @ 25% FTE</t>
  </si>
  <si>
    <t>Sodium guide Star System : Andor F42-MB-1-D02-S43 CCD camera</t>
  </si>
  <si>
    <t>Sodium guide Star System : Toptica TA-SHG Pro 1 W diode laser</t>
  </si>
  <si>
    <t>Publication Costs: (twox10page paper@150p)</t>
  </si>
  <si>
    <t>Electrical Engineer, Bud Hill</t>
  </si>
  <si>
    <t>Classified Personnel</t>
  </si>
  <si>
    <t>Gtaduate Assisitants</t>
  </si>
  <si>
    <t>Principal Investigator,  Christopher Walker, Summer</t>
  </si>
  <si>
    <t>Electronics Technician, Sr</t>
  </si>
  <si>
    <t>Electronics Technician, Jr</t>
  </si>
  <si>
    <t>Mechanical Integration, Materials and supplies</t>
  </si>
  <si>
    <t>Smithsonian Astrophysical Observatory (SAO) - Melnick</t>
  </si>
  <si>
    <t>TOTAL for UA</t>
  </si>
  <si>
    <t xml:space="preserve">Lodging (3 people for 21 days): </t>
  </si>
  <si>
    <t>Per Diem (3 people for 21 days):</t>
  </si>
  <si>
    <t>Ground Transportation (1 cargo van + 1 small pickup for 21 days):</t>
  </si>
  <si>
    <t>NASA (APRA)</t>
  </si>
  <si>
    <t>Space Science and Exploration Consulting Group- Stetson</t>
  </si>
  <si>
    <t>Yr1</t>
  </si>
  <si>
    <t>Yr2</t>
  </si>
  <si>
    <t>Yr3</t>
  </si>
  <si>
    <t>Total</t>
  </si>
  <si>
    <t xml:space="preserve">      January 1. 2018 -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</si>
</sst>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\$* #,##0.00_);_(\$* \(#,##0.00\);_(\$* \-??_);_(@_)"/>
    <numFmt numFmtId="165" formatCode="_(\$* #,##0_);_(\$* \(#,##0\);_(\$* \-_);_(@_)"/>
    <numFmt numFmtId="166" formatCode="0.00_);\(0.00\)"/>
    <numFmt numFmtId="167" formatCode="_(\$* #,##0_);_(\$* \(#,##0\);_(\$* \-??_);_(@_)"/>
    <numFmt numFmtId="168" formatCode="&quot;$&quot;#,##0"/>
    <numFmt numFmtId="169" formatCode="&quot;$&quot;#,##0.00"/>
  </numFmts>
  <fonts count="25" x14ac:knownFonts="1">
    <font>
      <sz val="11"/>
      <color rgb="FF000000"/>
      <name val="Calibri"/>
      <family val="2"/>
      <charset val="1"/>
    </font>
    <font>
      <b/>
      <sz val="11"/>
      <color rgb="FF000082"/>
      <name val="Calibri"/>
      <family val="2"/>
      <charset val="1"/>
    </font>
    <font>
      <b/>
      <sz val="10"/>
      <color rgb="FF000082"/>
      <name val="Calibri"/>
      <family val="2"/>
      <charset val="1"/>
    </font>
    <font>
      <sz val="9"/>
      <color rgb="FF000082"/>
      <name val="Calibri"/>
      <family val="2"/>
      <charset val="1"/>
    </font>
    <font>
      <sz val="8"/>
      <color rgb="FF000082"/>
      <name val="Calibri"/>
      <family val="2"/>
      <charset val="1"/>
    </font>
    <font>
      <sz val="11"/>
      <color rgb="FF000082"/>
      <name val="Calibri"/>
      <family val="2"/>
      <charset val="1"/>
    </font>
    <font>
      <b/>
      <sz val="9"/>
      <color rgb="FF000082"/>
      <name val="Calibri"/>
      <family val="2"/>
      <charset val="1"/>
    </font>
    <font>
      <sz val="10"/>
      <color rgb="FF000082"/>
      <name val="Tahoma"/>
      <family val="2"/>
      <charset val="1"/>
    </font>
    <font>
      <b/>
      <sz val="8"/>
      <color rgb="FF000082"/>
      <name val="Calibri"/>
      <family val="2"/>
      <charset val="1"/>
    </font>
    <font>
      <b/>
      <sz val="10"/>
      <color rgb="FF000082"/>
      <name val="Tahoma"/>
      <family val="2"/>
      <charset val="1"/>
    </font>
    <font>
      <i/>
      <sz val="11"/>
      <color rgb="FF002060"/>
      <name val="Calibri"/>
      <family val="2"/>
      <charset val="1"/>
    </font>
    <font>
      <sz val="9"/>
      <color rgb="FF000082"/>
      <name val="Calibri"/>
      <family val="2"/>
    </font>
    <font>
      <sz val="8"/>
      <color rgb="FF000082"/>
      <name val="Calibri"/>
      <family val="2"/>
    </font>
    <font>
      <b/>
      <sz val="9"/>
      <color rgb="FF000082"/>
      <name val="Calibri"/>
      <family val="2"/>
    </font>
    <font>
      <sz val="11"/>
      <color rgb="FF000000"/>
      <name val="Calibri"/>
      <family val="2"/>
    </font>
    <font>
      <b/>
      <sz val="9"/>
      <color theme="8" tint="-0.499984740745262"/>
      <name val="Calibri"/>
      <family val="2"/>
    </font>
    <font>
      <sz val="9"/>
      <color theme="8" tint="-0.499984740745262"/>
      <name val="Calibri"/>
      <family val="2"/>
    </font>
    <font>
      <sz val="11"/>
      <color rgb="FFFF0000"/>
      <name val="Calibri"/>
      <family val="2"/>
      <charset val="1"/>
    </font>
    <font>
      <sz val="11"/>
      <color rgb="FF000082"/>
      <name val="Calibri"/>
      <family val="2"/>
    </font>
    <font>
      <sz val="10"/>
      <color rgb="FF000082"/>
      <name val="Calibri"/>
      <family val="2"/>
    </font>
    <font>
      <sz val="9"/>
      <color theme="8" tint="-0.499984740745262"/>
      <name val="Calibri"/>
      <family val="2"/>
      <charset val="1"/>
    </font>
    <font>
      <b/>
      <sz val="9"/>
      <color theme="8" tint="-0.499984740745262"/>
      <name val="Calibri"/>
      <family val="2"/>
      <charset val="1"/>
    </font>
    <font>
      <sz val="9"/>
      <color rgb="FF00B050"/>
      <name val="Calibri"/>
      <family val="2"/>
      <charset val="1"/>
    </font>
    <font>
      <sz val="9"/>
      <color rgb="FF00B050"/>
      <name val="Calibri"/>
      <family val="2"/>
    </font>
    <font>
      <sz val="10"/>
      <color rgb="FF00B05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4C7E7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rgb="FF99CCFF"/>
      </patternFill>
    </fill>
    <fill>
      <patternFill patternType="lightUp">
        <fgColor theme="0" tint="-0.24994659260841701"/>
        <bgColor theme="7" tint="0.7999816888943144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165" fontId="4" fillId="2" borderId="4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0" borderId="0" xfId="0" applyFont="1" applyAlignment="1"/>
    <xf numFmtId="167" fontId="1" fillId="0" borderId="4" xfId="0" applyNumberFormat="1" applyFont="1" applyBorder="1" applyAlignment="1"/>
    <xf numFmtId="167" fontId="6" fillId="0" borderId="4" xfId="0" applyNumberFormat="1" applyFont="1" applyBorder="1" applyAlignment="1"/>
    <xf numFmtId="0" fontId="6" fillId="3" borderId="13" xfId="0" applyFont="1" applyFill="1" applyBorder="1" applyAlignment="1"/>
    <xf numFmtId="0" fontId="5" fillId="0" borderId="0" xfId="0" applyFont="1" applyAlignment="1">
      <alignment horizontal="left"/>
    </xf>
    <xf numFmtId="0" fontId="5" fillId="0" borderId="4" xfId="0" applyFont="1" applyBorder="1" applyAlignment="1"/>
    <xf numFmtId="0" fontId="3" fillId="0" borderId="4" xfId="0" applyFont="1" applyBorder="1" applyAlignment="1"/>
    <xf numFmtId="167" fontId="6" fillId="3" borderId="13" xfId="0" applyNumberFormat="1" applyFont="1" applyFill="1" applyBorder="1" applyAlignment="1">
      <alignment horizontal="right"/>
    </xf>
    <xf numFmtId="0" fontId="7" fillId="0" borderId="0" xfId="0" applyFont="1" applyAlignment="1"/>
    <xf numFmtId="165" fontId="8" fillId="0" borderId="4" xfId="0" applyNumberFormat="1" applyFont="1" applyBorder="1" applyAlignment="1"/>
    <xf numFmtId="165" fontId="9" fillId="0" borderId="0" xfId="0" applyNumberFormat="1" applyFont="1" applyAlignment="1"/>
    <xf numFmtId="167" fontId="6" fillId="3" borderId="12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0" fontId="6" fillId="3" borderId="12" xfId="0" applyFont="1" applyFill="1" applyBorder="1" applyAlignment="1"/>
    <xf numFmtId="167" fontId="6" fillId="3" borderId="12" xfId="0" applyNumberFormat="1" applyFont="1" applyFill="1" applyBorder="1" applyAlignment="1">
      <alignment horizontal="right" vertical="center"/>
    </xf>
    <xf numFmtId="0" fontId="0" fillId="0" borderId="3" xfId="0" applyBorder="1"/>
    <xf numFmtId="0" fontId="6" fillId="3" borderId="12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165" fontId="4" fillId="2" borderId="8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42" fontId="6" fillId="3" borderId="11" xfId="0" applyNumberFormat="1" applyFont="1" applyFill="1" applyBorder="1" applyAlignment="1"/>
    <xf numFmtId="10" fontId="3" fillId="0" borderId="3" xfId="0" applyNumberFormat="1" applyFont="1" applyBorder="1" applyAlignment="1"/>
    <xf numFmtId="10" fontId="11" fillId="0" borderId="0" xfId="0" applyNumberFormat="1" applyFont="1" applyBorder="1" applyAlignment="1"/>
    <xf numFmtId="10" fontId="11" fillId="0" borderId="3" xfId="0" applyNumberFormat="1" applyFont="1" applyBorder="1" applyAlignment="1"/>
    <xf numFmtId="10" fontId="3" fillId="0" borderId="14" xfId="0" applyNumberFormat="1" applyFont="1" applyBorder="1" applyAlignment="1"/>
    <xf numFmtId="42" fontId="11" fillId="0" borderId="4" xfId="0" applyNumberFormat="1" applyFont="1" applyBorder="1" applyAlignment="1"/>
    <xf numFmtId="42" fontId="11" fillId="0" borderId="9" xfId="0" applyNumberFormat="1" applyFont="1" applyBorder="1" applyAlignment="1"/>
    <xf numFmtId="0" fontId="6" fillId="4" borderId="0" xfId="0" applyFont="1" applyFill="1" applyBorder="1" applyAlignment="1"/>
    <xf numFmtId="0" fontId="3" fillId="4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7" fontId="6" fillId="4" borderId="0" xfId="0" applyNumberFormat="1" applyFont="1" applyFill="1" applyBorder="1" applyAlignment="1"/>
    <xf numFmtId="0" fontId="5" fillId="4" borderId="3" xfId="0" applyFont="1" applyFill="1" applyBorder="1" applyAlignment="1"/>
    <xf numFmtId="167" fontId="3" fillId="4" borderId="0" xfId="0" applyNumberFormat="1" applyFont="1" applyFill="1" applyBorder="1" applyAlignment="1">
      <alignment vertical="center"/>
    </xf>
    <xf numFmtId="167" fontId="3" fillId="4" borderId="0" xfId="0" applyNumberFormat="1" applyFont="1" applyFill="1" applyBorder="1" applyAlignment="1">
      <alignment horizontal="right"/>
    </xf>
    <xf numFmtId="167" fontId="3" fillId="4" borderId="0" xfId="0" applyNumberFormat="1" applyFont="1" applyFill="1" applyBorder="1" applyAlignment="1">
      <alignment horizontal="right" vertical="center"/>
    </xf>
    <xf numFmtId="167" fontId="3" fillId="4" borderId="0" xfId="0" applyNumberFormat="1" applyFont="1" applyFill="1" applyBorder="1" applyAlignment="1"/>
    <xf numFmtId="167" fontId="3" fillId="4" borderId="3" xfId="0" applyNumberFormat="1" applyFont="1" applyFill="1" applyBorder="1" applyAlignment="1"/>
    <xf numFmtId="167" fontId="6" fillId="4" borderId="3" xfId="0" applyNumberFormat="1" applyFont="1" applyFill="1" applyBorder="1" applyAlignment="1"/>
    <xf numFmtId="167" fontId="6" fillId="4" borderId="3" xfId="0" applyNumberFormat="1" applyFont="1" applyFill="1" applyBorder="1" applyAlignment="1">
      <alignment horizontal="left" vertical="center"/>
    </xf>
    <xf numFmtId="165" fontId="3" fillId="4" borderId="0" xfId="0" applyNumberFormat="1" applyFont="1" applyFill="1" applyBorder="1" applyAlignment="1"/>
    <xf numFmtId="42" fontId="3" fillId="0" borderId="4" xfId="0" applyNumberFormat="1" applyFont="1" applyBorder="1" applyAlignment="1"/>
    <xf numFmtId="42" fontId="6" fillId="0" borderId="4" xfId="0" applyNumberFormat="1" applyFont="1" applyBorder="1" applyAlignment="1"/>
    <xf numFmtId="42" fontId="6" fillId="0" borderId="9" xfId="0" applyNumberFormat="1" applyFont="1" applyBorder="1" applyAlignment="1"/>
    <xf numFmtId="42" fontId="3" fillId="0" borderId="0" xfId="0" applyNumberFormat="1" applyFont="1" applyBorder="1" applyAlignment="1"/>
    <xf numFmtId="42" fontId="3" fillId="6" borderId="0" xfId="0" applyNumberFormat="1" applyFont="1" applyFill="1" applyBorder="1" applyAlignment="1"/>
    <xf numFmtId="42" fontId="6" fillId="3" borderId="13" xfId="0" applyNumberFormat="1" applyFont="1" applyFill="1" applyBorder="1" applyAlignment="1">
      <alignment horizontal="right"/>
    </xf>
    <xf numFmtId="42" fontId="11" fillId="6" borderId="4" xfId="0" applyNumberFormat="1" applyFont="1" applyFill="1" applyBorder="1" applyAlignment="1"/>
    <xf numFmtId="167" fontId="11" fillId="0" borderId="3" xfId="0" applyNumberFormat="1" applyFont="1" applyBorder="1" applyAlignment="1">
      <alignment horizontal="center"/>
    </xf>
    <xf numFmtId="167" fontId="11" fillId="0" borderId="14" xfId="0" applyNumberFormat="1" applyFont="1" applyBorder="1" applyAlignment="1">
      <alignment horizontal="center"/>
    </xf>
    <xf numFmtId="0" fontId="0" fillId="0" borderId="12" xfId="0" applyBorder="1"/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4" fillId="0" borderId="13" xfId="0" applyFont="1" applyBorder="1"/>
    <xf numFmtId="0" fontId="11" fillId="0" borderId="12" xfId="0" applyFont="1" applyBorder="1" applyAlignment="1">
      <alignment horizontal="center"/>
    </xf>
    <xf numFmtId="42" fontId="11" fillId="0" borderId="0" xfId="0" applyNumberFormat="1" applyFont="1" applyBorder="1" applyAlignment="1">
      <alignment horizontal="center"/>
    </xf>
    <xf numFmtId="42" fontId="11" fillId="0" borderId="4" xfId="0" applyNumberFormat="1" applyFont="1" applyBorder="1" applyAlignment="1">
      <alignment horizontal="center"/>
    </xf>
    <xf numFmtId="42" fontId="11" fillId="0" borderId="8" xfId="0" applyNumberFormat="1" applyFont="1" applyBorder="1" applyAlignment="1">
      <alignment horizontal="center"/>
    </xf>
    <xf numFmtId="42" fontId="11" fillId="0" borderId="9" xfId="0" applyNumberFormat="1" applyFont="1" applyBorder="1" applyAlignment="1">
      <alignment horizontal="center"/>
    </xf>
    <xf numFmtId="167" fontId="11" fillId="4" borderId="0" xfId="0" applyNumberFormat="1" applyFont="1" applyFill="1" applyBorder="1" applyAlignment="1"/>
    <xf numFmtId="42" fontId="11" fillId="0" borderId="0" xfId="0" applyNumberFormat="1" applyFont="1" applyBorder="1" applyAlignment="1"/>
    <xf numFmtId="167" fontId="11" fillId="4" borderId="3" xfId="0" applyNumberFormat="1" applyFont="1" applyFill="1" applyBorder="1" applyAlignment="1"/>
    <xf numFmtId="167" fontId="1" fillId="3" borderId="13" xfId="0" applyNumberFormat="1" applyFont="1" applyFill="1" applyBorder="1" applyAlignment="1"/>
    <xf numFmtId="165" fontId="8" fillId="4" borderId="3" xfId="0" applyNumberFormat="1" applyFont="1" applyFill="1" applyBorder="1" applyAlignment="1"/>
    <xf numFmtId="2" fontId="8" fillId="4" borderId="0" xfId="0" applyNumberFormat="1" applyFont="1" applyFill="1" applyBorder="1" applyAlignment="1"/>
    <xf numFmtId="164" fontId="8" fillId="4" borderId="0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right"/>
    </xf>
    <xf numFmtId="167" fontId="6" fillId="4" borderId="0" xfId="0" applyNumberFormat="1" applyFont="1" applyFill="1" applyBorder="1" applyAlignment="1">
      <alignment horizontal="right"/>
    </xf>
    <xf numFmtId="42" fontId="6" fillId="3" borderId="13" xfId="0" applyNumberFormat="1" applyFont="1" applyFill="1" applyBorder="1" applyAlignment="1"/>
    <xf numFmtId="42" fontId="1" fillId="3" borderId="11" xfId="0" applyNumberFormat="1" applyFont="1" applyFill="1" applyBorder="1" applyAlignment="1"/>
    <xf numFmtId="42" fontId="1" fillId="3" borderId="13" xfId="0" applyNumberFormat="1" applyFont="1" applyFill="1" applyBorder="1" applyAlignment="1">
      <alignment horizontal="right"/>
    </xf>
    <xf numFmtId="42" fontId="1" fillId="3" borderId="13" xfId="0" applyNumberFormat="1" applyFont="1" applyFill="1" applyBorder="1" applyAlignment="1"/>
    <xf numFmtId="42" fontId="1" fillId="3" borderId="12" xfId="0" applyNumberFormat="1" applyFont="1" applyFill="1" applyBorder="1" applyAlignment="1">
      <alignment horizontal="right"/>
    </xf>
    <xf numFmtId="42" fontId="1" fillId="3" borderId="11" xfId="0" applyNumberFormat="1" applyFont="1" applyFill="1" applyBorder="1" applyAlignment="1">
      <alignment horizontal="right"/>
    </xf>
    <xf numFmtId="42" fontId="6" fillId="3" borderId="13" xfId="0" applyNumberFormat="1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42" fontId="12" fillId="0" borderId="4" xfId="0" applyNumberFormat="1" applyFont="1" applyBorder="1" applyAlignment="1">
      <alignment horizontal="center"/>
    </xf>
    <xf numFmtId="164" fontId="13" fillId="3" borderId="12" xfId="0" applyNumberFormat="1" applyFont="1" applyFill="1" applyBorder="1" applyAlignment="1">
      <alignment horizontal="center"/>
    </xf>
    <xf numFmtId="41" fontId="13" fillId="3" borderId="13" xfId="0" applyNumberFormat="1" applyFont="1" applyFill="1" applyBorder="1" applyAlignment="1">
      <alignment horizontal="center"/>
    </xf>
    <xf numFmtId="42" fontId="13" fillId="3" borderId="11" xfId="0" applyNumberFormat="1" applyFont="1" applyFill="1" applyBorder="1" applyAlignment="1"/>
    <xf numFmtId="164" fontId="13" fillId="3" borderId="13" xfId="0" applyNumberFormat="1" applyFont="1" applyFill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41" fontId="11" fillId="0" borderId="0" xfId="0" applyNumberFormat="1" applyFont="1" applyBorder="1" applyAlignment="1">
      <alignment horizontal="center"/>
    </xf>
    <xf numFmtId="44" fontId="12" fillId="0" borderId="0" xfId="0" applyNumberFormat="1" applyFont="1" applyBorder="1" applyAlignment="1">
      <alignment horizontal="center"/>
    </xf>
    <xf numFmtId="41" fontId="12" fillId="0" borderId="0" xfId="0" applyNumberFormat="1" applyFont="1" applyBorder="1" applyAlignment="1">
      <alignment horizontal="center"/>
    </xf>
    <xf numFmtId="42" fontId="18" fillId="0" borderId="4" xfId="0" applyNumberFormat="1" applyFont="1" applyBorder="1" applyAlignment="1"/>
    <xf numFmtId="168" fontId="3" fillId="3" borderId="13" xfId="0" applyNumberFormat="1" applyFont="1" applyFill="1" applyBorder="1" applyAlignment="1">
      <alignment horizontal="center"/>
    </xf>
    <xf numFmtId="168" fontId="6" fillId="3" borderId="13" xfId="0" applyNumberFormat="1" applyFont="1" applyFill="1" applyBorder="1" applyAlignment="1"/>
    <xf numFmtId="168" fontId="3" fillId="3" borderId="12" xfId="0" applyNumberFormat="1" applyFont="1" applyFill="1" applyBorder="1" applyAlignment="1">
      <alignment horizontal="center"/>
    </xf>
    <xf numFmtId="168" fontId="6" fillId="3" borderId="12" xfId="0" applyNumberFormat="1" applyFont="1" applyFill="1" applyBorder="1" applyAlignment="1"/>
    <xf numFmtId="42" fontId="6" fillId="3" borderId="11" xfId="0" applyNumberFormat="1" applyFont="1" applyFill="1" applyBorder="1" applyAlignment="1">
      <alignment horizontal="right"/>
    </xf>
    <xf numFmtId="42" fontId="3" fillId="6" borderId="4" xfId="0" applyNumberFormat="1" applyFont="1" applyFill="1" applyBorder="1" applyAlignment="1"/>
    <xf numFmtId="42" fontId="6" fillId="3" borderId="12" xfId="0" applyNumberFormat="1" applyFont="1" applyFill="1" applyBorder="1" applyAlignment="1">
      <alignment horizontal="center"/>
    </xf>
    <xf numFmtId="42" fontId="6" fillId="3" borderId="12" xfId="0" applyNumberFormat="1" applyFont="1" applyFill="1" applyBorder="1" applyAlignment="1">
      <alignment horizontal="right" vertical="center"/>
    </xf>
    <xf numFmtId="42" fontId="6" fillId="3" borderId="12" xfId="0" applyNumberFormat="1" applyFont="1" applyFill="1" applyBorder="1" applyAlignment="1">
      <alignment horizontal="right"/>
    </xf>
    <xf numFmtId="0" fontId="14" fillId="0" borderId="0" xfId="0" applyFont="1" applyBorder="1"/>
    <xf numFmtId="42" fontId="3" fillId="0" borderId="2" xfId="0" applyNumberFormat="1" applyFont="1" applyBorder="1" applyAlignment="1"/>
    <xf numFmtId="165" fontId="2" fillId="2" borderId="2" xfId="0" applyNumberFormat="1" applyFont="1" applyFill="1" applyBorder="1" applyAlignment="1">
      <alignment wrapText="1"/>
    </xf>
    <xf numFmtId="42" fontId="3" fillId="6" borderId="9" xfId="0" applyNumberFormat="1" applyFont="1" applyFill="1" applyBorder="1" applyAlignment="1"/>
    <xf numFmtId="165" fontId="8" fillId="4" borderId="12" xfId="0" applyNumberFormat="1" applyFont="1" applyFill="1" applyBorder="1" applyAlignment="1"/>
    <xf numFmtId="2" fontId="8" fillId="4" borderId="13" xfId="0" applyNumberFormat="1" applyFont="1" applyFill="1" applyBorder="1" applyAlignment="1"/>
    <xf numFmtId="0" fontId="16" fillId="8" borderId="12" xfId="0" applyFont="1" applyFill="1" applyBorder="1" applyAlignment="1">
      <alignment horizontal="right"/>
    </xf>
    <xf numFmtId="1" fontId="16" fillId="8" borderId="13" xfId="0" applyNumberFormat="1" applyFont="1" applyFill="1" applyBorder="1" applyAlignment="1">
      <alignment horizontal="right"/>
    </xf>
    <xf numFmtId="42" fontId="6" fillId="4" borderId="0" xfId="0" applyNumberFormat="1" applyFont="1" applyFill="1" applyBorder="1" applyAlignment="1"/>
    <xf numFmtId="42" fontId="6" fillId="4" borderId="3" xfId="0" applyNumberFormat="1" applyFont="1" applyFill="1" applyBorder="1" applyAlignment="1"/>
    <xf numFmtId="42" fontId="6" fillId="0" borderId="4" xfId="0" applyNumberFormat="1" applyFont="1" applyFill="1" applyBorder="1" applyAlignment="1">
      <alignment horizontal="center"/>
    </xf>
    <xf numFmtId="42" fontId="6" fillId="4" borderId="0" xfId="0" applyNumberFormat="1" applyFont="1" applyFill="1" applyBorder="1" applyAlignment="1">
      <alignment horizontal="center"/>
    </xf>
    <xf numFmtId="42" fontId="6" fillId="0" borderId="4" xfId="0" applyNumberFormat="1" applyFont="1" applyFill="1" applyBorder="1" applyAlignment="1">
      <alignment horizontal="right"/>
    </xf>
    <xf numFmtId="42" fontId="6" fillId="4" borderId="0" xfId="0" applyNumberFormat="1" applyFont="1" applyFill="1" applyBorder="1" applyAlignment="1">
      <alignment horizontal="right"/>
    </xf>
    <xf numFmtId="42" fontId="20" fillId="5" borderId="11" xfId="0" applyNumberFormat="1" applyFont="1" applyFill="1" applyBorder="1" applyAlignment="1">
      <alignment horizontal="right"/>
    </xf>
    <xf numFmtId="42" fontId="20" fillId="8" borderId="13" xfId="0" applyNumberFormat="1" applyFont="1" applyFill="1" applyBorder="1" applyAlignment="1">
      <alignment horizontal="right"/>
    </xf>
    <xf numFmtId="42" fontId="20" fillId="8" borderId="12" xfId="0" applyNumberFormat="1" applyFont="1" applyFill="1" applyBorder="1" applyAlignment="1">
      <alignment horizontal="right"/>
    </xf>
    <xf numFmtId="42" fontId="21" fillId="5" borderId="11" xfId="0" applyNumberFormat="1" applyFont="1" applyFill="1" applyBorder="1" applyAlignment="1"/>
    <xf numFmtId="42" fontId="6" fillId="3" borderId="13" xfId="0" applyNumberFormat="1" applyFont="1" applyFill="1" applyBorder="1" applyAlignment="1">
      <alignment horizontal="center"/>
    </xf>
    <xf numFmtId="42" fontId="0" fillId="0" borderId="0" xfId="0" applyNumberFormat="1"/>
    <xf numFmtId="169" fontId="0" fillId="0" borderId="0" xfId="0" applyNumberFormat="1"/>
    <xf numFmtId="0" fontId="3" fillId="0" borderId="6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164" fontId="2" fillId="2" borderId="11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right" wrapText="1"/>
    </xf>
    <xf numFmtId="0" fontId="6" fillId="3" borderId="10" xfId="0" applyFont="1" applyFill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6" fillId="2" borderId="12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42" fontId="6" fillId="3" borderId="13" xfId="0" applyNumberFormat="1" applyFont="1" applyFill="1" applyBorder="1" applyAlignment="1">
      <alignment horizontal="center"/>
    </xf>
    <xf numFmtId="42" fontId="6" fillId="3" borderId="1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11" fillId="0" borderId="6" xfId="0" applyFont="1" applyBorder="1" applyAlignment="1">
      <alignment horizontal="left" indent="2"/>
    </xf>
    <xf numFmtId="0" fontId="13" fillId="0" borderId="6" xfId="0" applyFont="1" applyBorder="1" applyAlignment="1">
      <alignment horizontal="left"/>
    </xf>
    <xf numFmtId="0" fontId="11" fillId="0" borderId="3" xfId="0" applyFont="1" applyBorder="1" applyAlignment="1">
      <alignment horizontal="left" indent="2"/>
    </xf>
    <xf numFmtId="0" fontId="11" fillId="0" borderId="0" xfId="0" applyFont="1" applyBorder="1" applyAlignment="1">
      <alignment horizontal="left" indent="2"/>
    </xf>
    <xf numFmtId="0" fontId="11" fillId="0" borderId="4" xfId="0" applyFont="1" applyBorder="1" applyAlignment="1">
      <alignment horizontal="left" indent="2"/>
    </xf>
    <xf numFmtId="0" fontId="15" fillId="5" borderId="12" xfId="0" applyFont="1" applyFill="1" applyBorder="1" applyAlignment="1">
      <alignment horizontal="left"/>
    </xf>
    <xf numFmtId="0" fontId="15" fillId="5" borderId="13" xfId="0" applyFont="1" applyFill="1" applyBorder="1" applyAlignment="1">
      <alignment horizontal="left"/>
    </xf>
    <xf numFmtId="0" fontId="15" fillId="5" borderId="1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0" borderId="3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19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11" fillId="0" borderId="3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11" fillId="6" borderId="6" xfId="0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 wrapText="1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17" fillId="0" borderId="15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10" fontId="0" fillId="0" borderId="17" xfId="0" applyNumberFormat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1" fillId="7" borderId="3" xfId="0" applyFont="1" applyFill="1" applyBorder="1" applyAlignment="1">
      <alignment horizontal="right"/>
    </xf>
    <xf numFmtId="0" fontId="10" fillId="7" borderId="4" xfId="0" applyFont="1" applyFill="1" applyBorder="1" applyAlignment="1">
      <alignment horizontal="left" indent="2"/>
    </xf>
    <xf numFmtId="0" fontId="1" fillId="2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2" fillId="2" borderId="6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right"/>
    </xf>
    <xf numFmtId="0" fontId="10" fillId="7" borderId="2" xfId="0" applyFont="1" applyFill="1" applyBorder="1" applyAlignment="1">
      <alignment horizontal="left" indent="2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3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10" fontId="0" fillId="0" borderId="0" xfId="0" applyNumberFormat="1"/>
    <xf numFmtId="10" fontId="5" fillId="0" borderId="0" xfId="0" applyNumberFormat="1" applyFont="1" applyAlignment="1">
      <alignment horizontal="left"/>
    </xf>
    <xf numFmtId="42" fontId="2" fillId="0" borderId="11" xfId="0" applyNumberFormat="1" applyFont="1" applyBorder="1" applyAlignment="1"/>
    <xf numFmtId="42" fontId="2" fillId="4" borderId="13" xfId="0" applyNumberFormat="1" applyFont="1" applyFill="1" applyBorder="1" applyAlignment="1"/>
    <xf numFmtId="42" fontId="2" fillId="4" borderId="12" xfId="0" applyNumberFormat="1" applyFont="1" applyFill="1" applyBorder="1" applyAlignment="1"/>
    <xf numFmtId="0" fontId="10" fillId="7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2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tabSelected="1" showWhiteSpace="0" zoomScale="98" zoomScaleNormal="98" workbookViewId="0">
      <selection activeCell="A7" sqref="A7:E7"/>
    </sheetView>
  </sheetViews>
  <sheetFormatPr defaultRowHeight="15" x14ac:dyDescent="0.25"/>
  <cols>
    <col min="1" max="2" width="8.7109375"/>
    <col min="3" max="3" width="12.5703125"/>
    <col min="4" max="4" width="8.7109375"/>
    <col min="5" max="5" width="11.5703125" customWidth="1"/>
    <col min="6" max="6" width="10.5703125" customWidth="1"/>
    <col min="7" max="7" width="11.5703125" customWidth="1"/>
    <col min="8" max="8" width="13.28515625" customWidth="1"/>
    <col min="9" max="9" width="10.5703125" customWidth="1"/>
    <col min="10" max="10" width="12" customWidth="1"/>
    <col min="11" max="11" width="14" customWidth="1"/>
    <col min="12" max="12" width="10.140625" customWidth="1"/>
    <col min="13" max="13" width="11.42578125" customWidth="1"/>
    <col min="14" max="14" width="11.28515625" customWidth="1"/>
    <col min="15" max="15" width="14"/>
    <col min="16" max="16" width="8.7109375"/>
    <col min="17" max="17" width="11.5703125" bestFit="1" customWidth="1"/>
    <col min="18" max="18" width="13" customWidth="1"/>
    <col min="19" max="1024" width="8.7109375"/>
  </cols>
  <sheetData>
    <row r="1" spans="1:22" x14ac:dyDescent="0.25">
      <c r="A1" s="196" t="s">
        <v>0</v>
      </c>
      <c r="B1" s="196"/>
      <c r="C1" s="196"/>
      <c r="D1" s="197" t="s">
        <v>1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Q1" s="175" t="s">
        <v>54</v>
      </c>
      <c r="R1" s="176"/>
      <c r="S1" s="176"/>
      <c r="T1" s="176"/>
      <c r="U1" s="176"/>
      <c r="V1" s="177"/>
    </row>
    <row r="2" spans="1:22" x14ac:dyDescent="0.25">
      <c r="A2" s="187" t="s">
        <v>2</v>
      </c>
      <c r="B2" s="187"/>
      <c r="C2" s="187"/>
      <c r="D2" s="188" t="s">
        <v>3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Q2" s="178"/>
      <c r="R2" s="179"/>
      <c r="S2" s="179"/>
      <c r="T2" s="179"/>
      <c r="U2" s="179"/>
      <c r="V2" s="180"/>
    </row>
    <row r="3" spans="1:22" ht="15.75" thickBot="1" x14ac:dyDescent="0.3">
      <c r="A3" s="187" t="s">
        <v>4</v>
      </c>
      <c r="B3" s="187"/>
      <c r="C3" s="187"/>
      <c r="D3" s="188" t="s">
        <v>114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Q3" s="178"/>
      <c r="R3" s="179"/>
      <c r="S3" s="179"/>
      <c r="T3" s="179"/>
      <c r="U3" s="179"/>
      <c r="V3" s="180"/>
    </row>
    <row r="4" spans="1:22" ht="15" customHeight="1" x14ac:dyDescent="0.25">
      <c r="A4" s="187" t="s">
        <v>5</v>
      </c>
      <c r="B4" s="187"/>
      <c r="C4" s="187"/>
      <c r="D4" s="188" t="s">
        <v>84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Q4" s="181" t="s">
        <v>55</v>
      </c>
      <c r="R4" s="182"/>
      <c r="S4" s="185">
        <v>0.04</v>
      </c>
      <c r="T4" s="181" t="s">
        <v>56</v>
      </c>
      <c r="U4" s="182"/>
      <c r="V4" s="185">
        <v>0.08</v>
      </c>
    </row>
    <row r="5" spans="1:22" ht="15.75" thickBot="1" x14ac:dyDescent="0.3">
      <c r="A5" s="187" t="s">
        <v>6</v>
      </c>
      <c r="B5" s="187"/>
      <c r="C5" s="187"/>
      <c r="D5" s="188" t="s">
        <v>85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Q5" s="183"/>
      <c r="R5" s="184"/>
      <c r="S5" s="186"/>
      <c r="T5" s="183"/>
      <c r="U5" s="184"/>
      <c r="V5" s="186"/>
    </row>
    <row r="6" spans="1:22" x14ac:dyDescent="0.25">
      <c r="A6" s="187" t="s">
        <v>7</v>
      </c>
      <c r="B6" s="187"/>
      <c r="C6" s="187"/>
      <c r="D6" s="209" t="s">
        <v>120</v>
      </c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</row>
    <row r="7" spans="1:22" ht="15" customHeight="1" x14ac:dyDescent="0.25">
      <c r="A7" s="189" t="s">
        <v>35</v>
      </c>
      <c r="B7" s="189"/>
      <c r="C7" s="189"/>
      <c r="D7" s="189"/>
      <c r="E7" s="190"/>
      <c r="F7" s="136" t="s">
        <v>17</v>
      </c>
      <c r="G7" s="135"/>
      <c r="H7" s="135"/>
      <c r="I7" s="135" t="s">
        <v>18</v>
      </c>
      <c r="J7" s="136"/>
      <c r="K7" s="137"/>
      <c r="L7" s="136" t="s">
        <v>37</v>
      </c>
      <c r="M7" s="136"/>
      <c r="N7" s="136"/>
      <c r="O7" s="109"/>
    </row>
    <row r="8" spans="1:22" ht="12" customHeight="1" x14ac:dyDescent="0.25">
      <c r="A8" s="198"/>
      <c r="B8" s="198"/>
      <c r="C8" s="198"/>
      <c r="D8" s="198"/>
      <c r="E8" s="199"/>
      <c r="F8" s="21" t="s">
        <v>35</v>
      </c>
      <c r="G8" s="22" t="s">
        <v>9</v>
      </c>
      <c r="H8" s="1"/>
      <c r="I8" s="32" t="s">
        <v>35</v>
      </c>
      <c r="J8" s="22" t="s">
        <v>9</v>
      </c>
      <c r="K8" s="30"/>
      <c r="L8" s="21" t="s">
        <v>35</v>
      </c>
      <c r="M8" s="22" t="s">
        <v>9</v>
      </c>
      <c r="N8" s="1"/>
      <c r="O8" s="194" t="s">
        <v>32</v>
      </c>
    </row>
    <row r="9" spans="1:22" x14ac:dyDescent="0.25">
      <c r="A9" s="191" t="s">
        <v>8</v>
      </c>
      <c r="B9" s="191"/>
      <c r="C9" s="191"/>
      <c r="D9" s="191"/>
      <c r="E9" s="192"/>
      <c r="F9" s="23" t="s">
        <v>10</v>
      </c>
      <c r="G9" s="3" t="s">
        <v>11</v>
      </c>
      <c r="H9" s="4" t="s">
        <v>12</v>
      </c>
      <c r="I9" s="2" t="s">
        <v>10</v>
      </c>
      <c r="J9" s="3" t="s">
        <v>11</v>
      </c>
      <c r="K9" s="31" t="s">
        <v>12</v>
      </c>
      <c r="L9" s="23" t="s">
        <v>10</v>
      </c>
      <c r="M9" s="3" t="s">
        <v>11</v>
      </c>
      <c r="N9" s="4" t="s">
        <v>12</v>
      </c>
      <c r="O9" s="195"/>
    </row>
    <row r="10" spans="1:22" x14ac:dyDescent="0.25">
      <c r="A10" s="193" t="s">
        <v>13</v>
      </c>
      <c r="B10" s="193"/>
      <c r="C10" s="193"/>
      <c r="D10" s="193"/>
      <c r="E10" s="193"/>
      <c r="F10" s="18"/>
      <c r="G10" s="19"/>
      <c r="H10" s="20"/>
      <c r="I10" s="18"/>
      <c r="J10" s="19"/>
      <c r="K10" s="87"/>
      <c r="L10" s="18"/>
      <c r="M10" s="19"/>
      <c r="N10" s="20"/>
      <c r="O10" s="11"/>
    </row>
    <row r="11" spans="1:22" x14ac:dyDescent="0.25">
      <c r="A11" s="160" t="s">
        <v>63</v>
      </c>
      <c r="B11" s="161"/>
      <c r="C11" s="161"/>
      <c r="D11" s="161"/>
      <c r="E11" s="162"/>
      <c r="F11" s="93">
        <v>0</v>
      </c>
      <c r="G11" s="94">
        <v>0</v>
      </c>
      <c r="H11" s="38">
        <f>ROUND(G11*F11,0)</f>
        <v>0</v>
      </c>
      <c r="I11" s="93">
        <f>F11+(F11*S$4)</f>
        <v>0</v>
      </c>
      <c r="J11" s="94">
        <v>0</v>
      </c>
      <c r="K11" s="38">
        <f>ROUND(J11*I11,0)</f>
        <v>0</v>
      </c>
      <c r="L11" s="93">
        <f>I11+(I11*S$4)</f>
        <v>0</v>
      </c>
      <c r="M11" s="94">
        <v>0</v>
      </c>
      <c r="N11" s="38">
        <f>ROUND(L11*M11,0)</f>
        <v>0</v>
      </c>
      <c r="O11" s="38">
        <f>H11+K11+N11</f>
        <v>0</v>
      </c>
      <c r="Q11" t="s">
        <v>116</v>
      </c>
      <c r="R11" t="s">
        <v>117</v>
      </c>
      <c r="S11" t="s">
        <v>118</v>
      </c>
      <c r="T11" t="s">
        <v>119</v>
      </c>
    </row>
    <row r="12" spans="1:22" x14ac:dyDescent="0.25">
      <c r="A12" s="160" t="s">
        <v>105</v>
      </c>
      <c r="B12" s="161"/>
      <c r="C12" s="161"/>
      <c r="D12" s="161"/>
      <c r="E12" s="162"/>
      <c r="F12" s="93">
        <f>ROUND(135000*0.00072,2)</f>
        <v>97.2</v>
      </c>
      <c r="G12" s="94">
        <v>174</v>
      </c>
      <c r="H12" s="38">
        <f>ROUND(G12*F12,0)</f>
        <v>16913</v>
      </c>
      <c r="I12" s="93">
        <f>F12+(F12*S$4)</f>
        <v>101.08800000000001</v>
      </c>
      <c r="J12" s="94">
        <v>174</v>
      </c>
      <c r="K12" s="38">
        <f>ROUND(J12*I12,0)</f>
        <v>17589</v>
      </c>
      <c r="L12" s="93">
        <f>I12+(I12*S$4)</f>
        <v>105.13152000000001</v>
      </c>
      <c r="M12" s="94">
        <v>174</v>
      </c>
      <c r="N12" s="38">
        <f>ROUND(L12*M12,0)</f>
        <v>18293</v>
      </c>
      <c r="O12" s="38">
        <f>H12+K12+N12</f>
        <v>52795</v>
      </c>
      <c r="Q12" s="204">
        <f>(G11+G12)/2064</f>
        <v>8.4302325581395346E-2</v>
      </c>
      <c r="R12" s="204">
        <f>(J11+J12)/2064</f>
        <v>8.4302325581395346E-2</v>
      </c>
      <c r="S12" s="204">
        <f>(M11+M12)/2064</f>
        <v>8.4302325581395346E-2</v>
      </c>
      <c r="T12" s="204">
        <f>(G11+G12+J11+J12+M11+M12)/(2064*3)</f>
        <v>8.4302325581395346E-2</v>
      </c>
    </row>
    <row r="13" spans="1:22" x14ac:dyDescent="0.25">
      <c r="A13" s="160" t="s">
        <v>94</v>
      </c>
      <c r="B13" s="161"/>
      <c r="C13" s="161"/>
      <c r="D13" s="161"/>
      <c r="E13" s="162"/>
      <c r="F13" s="93">
        <f>100425*0.00072</f>
        <v>72.306000000000012</v>
      </c>
      <c r="G13" s="94">
        <f>464*1/3</f>
        <v>154.66666666666666</v>
      </c>
      <c r="H13" s="38">
        <f>ROUND(G13*F13,0)</f>
        <v>11183</v>
      </c>
      <c r="I13" s="93">
        <f>F13+(F13*S$4)</f>
        <v>75.198240000000013</v>
      </c>
      <c r="J13" s="94">
        <f>G13</f>
        <v>154.66666666666666</v>
      </c>
      <c r="K13" s="38">
        <f>ROUND(J13*I13,0)</f>
        <v>11631</v>
      </c>
      <c r="L13" s="93">
        <f>I13+(I13*S$4)</f>
        <v>78.20616960000001</v>
      </c>
      <c r="M13" s="94">
        <f>G13</f>
        <v>154.66666666666666</v>
      </c>
      <c r="N13" s="38">
        <f>ROUND(L13*M13,0)</f>
        <v>12096</v>
      </c>
      <c r="O13" s="38">
        <f>H13+K13+N13</f>
        <v>34910</v>
      </c>
      <c r="Q13" s="204">
        <f>G13/2064</f>
        <v>7.4935400516795855E-2</v>
      </c>
      <c r="R13" s="204">
        <f>J13/2064</f>
        <v>7.4935400516795855E-2</v>
      </c>
      <c r="S13" s="204">
        <f>M13/2064</f>
        <v>7.4935400516795855E-2</v>
      </c>
      <c r="T13" s="204">
        <f>(G13+J13+M13)/(2064*3)</f>
        <v>7.4935400516795869E-2</v>
      </c>
    </row>
    <row r="14" spans="1:22" x14ac:dyDescent="0.25">
      <c r="A14" s="160" t="s">
        <v>64</v>
      </c>
      <c r="B14" s="161"/>
      <c r="C14" s="161"/>
      <c r="D14" s="161"/>
      <c r="E14" s="162"/>
      <c r="F14" s="93">
        <f>ROUND(58631/2088,2)</f>
        <v>28.08</v>
      </c>
      <c r="G14" s="94">
        <v>528</v>
      </c>
      <c r="H14" s="38">
        <f>ROUND(G14*F14,0)</f>
        <v>14826</v>
      </c>
      <c r="I14" s="93">
        <f>F14+(F14*S$4)</f>
        <v>29.203199999999999</v>
      </c>
      <c r="J14" s="94">
        <v>528</v>
      </c>
      <c r="K14" s="38">
        <f>ROUND(J14*I14,0)</f>
        <v>15419</v>
      </c>
      <c r="L14" s="93">
        <f>I14+(I14*S$4)</f>
        <v>30.371327999999998</v>
      </c>
      <c r="M14" s="94">
        <v>528</v>
      </c>
      <c r="N14" s="38">
        <f>ROUND(L14*M14,0)</f>
        <v>16036</v>
      </c>
      <c r="O14" s="38">
        <f>H14+K14+N14</f>
        <v>46281</v>
      </c>
      <c r="Q14" s="204">
        <f>G14/2088</f>
        <v>0.25287356321839083</v>
      </c>
      <c r="R14" s="204">
        <f>J14/2088</f>
        <v>0.25287356321839083</v>
      </c>
      <c r="S14" s="204">
        <f>M14/2088</f>
        <v>0.25287356321839083</v>
      </c>
      <c r="T14" s="204">
        <f>(G14+J14+M14)/(2088*3)</f>
        <v>0.25287356321839083</v>
      </c>
    </row>
    <row r="15" spans="1:22" x14ac:dyDescent="0.25">
      <c r="A15" s="163" t="s">
        <v>33</v>
      </c>
      <c r="B15" s="164"/>
      <c r="C15" s="164"/>
      <c r="D15" s="164"/>
      <c r="E15" s="165"/>
      <c r="F15" s="95"/>
      <c r="G15" s="96"/>
      <c r="H15" s="88"/>
      <c r="I15" s="95"/>
      <c r="J15" s="96"/>
      <c r="K15" s="88"/>
      <c r="L15" s="95"/>
      <c r="M15" s="96"/>
      <c r="N15" s="88"/>
      <c r="O15" s="97"/>
      <c r="Q15" s="204"/>
      <c r="R15" s="204"/>
      <c r="S15" s="204"/>
      <c r="T15" s="204"/>
    </row>
    <row r="16" spans="1:22" hidden="1" x14ac:dyDescent="0.25">
      <c r="A16" s="160" t="s">
        <v>34</v>
      </c>
      <c r="B16" s="161"/>
      <c r="C16" s="161"/>
      <c r="D16" s="161"/>
      <c r="E16" s="162"/>
      <c r="F16" s="93">
        <v>0</v>
      </c>
      <c r="G16" s="94">
        <v>0</v>
      </c>
      <c r="H16" s="38">
        <f t="shared" ref="H16:H21" si="0">ROUND(G16*F16,0)</f>
        <v>0</v>
      </c>
      <c r="I16" s="93">
        <f t="shared" ref="I16:I21" si="1">F16+(F16*S$4)</f>
        <v>0</v>
      </c>
      <c r="J16" s="94">
        <v>0</v>
      </c>
      <c r="K16" s="38">
        <f t="shared" ref="K16:K21" si="2">ROUND(J16*I16,0)</f>
        <v>0</v>
      </c>
      <c r="L16" s="93">
        <f t="shared" ref="L16:L21" si="3">I16+(I16*S$4)</f>
        <v>0</v>
      </c>
      <c r="M16" s="94">
        <v>0</v>
      </c>
      <c r="N16" s="38">
        <f t="shared" ref="N16:N21" si="4">ROUND(L16*M16,0)</f>
        <v>0</v>
      </c>
      <c r="O16" s="38">
        <f t="shared" ref="O16:O21" si="5">H16+K16+N16</f>
        <v>0</v>
      </c>
      <c r="Q16" s="204"/>
      <c r="R16" s="204"/>
      <c r="S16" s="204"/>
      <c r="T16" s="204"/>
    </row>
    <row r="17" spans="1:20" x14ac:dyDescent="0.25">
      <c r="A17" s="160" t="s">
        <v>59</v>
      </c>
      <c r="B17" s="161"/>
      <c r="C17" s="161"/>
      <c r="D17" s="161"/>
      <c r="E17" s="162"/>
      <c r="F17" s="93">
        <f>ROUND(86095/2088,2)</f>
        <v>41.23</v>
      </c>
      <c r="G17" s="94">
        <v>528</v>
      </c>
      <c r="H17" s="38">
        <f t="shared" si="0"/>
        <v>21769</v>
      </c>
      <c r="I17" s="93">
        <f t="shared" si="1"/>
        <v>42.879199999999997</v>
      </c>
      <c r="J17" s="94">
        <v>528</v>
      </c>
      <c r="K17" s="38">
        <f t="shared" si="2"/>
        <v>22640</v>
      </c>
      <c r="L17" s="93">
        <f t="shared" si="3"/>
        <v>44.594367999999996</v>
      </c>
      <c r="M17" s="94">
        <v>528</v>
      </c>
      <c r="N17" s="38">
        <f t="shared" si="4"/>
        <v>23546</v>
      </c>
      <c r="O17" s="38">
        <f t="shared" si="5"/>
        <v>67955</v>
      </c>
      <c r="Q17" s="204">
        <f>G17/2088</f>
        <v>0.25287356321839083</v>
      </c>
      <c r="R17" s="204">
        <f>J17/2088</f>
        <v>0.25287356321839083</v>
      </c>
      <c r="S17" s="204">
        <f>M17/2088</f>
        <v>0.25287356321839083</v>
      </c>
      <c r="T17" s="204">
        <f>(G17+J17+M17)/(2088*3)</f>
        <v>0.25287356321839083</v>
      </c>
    </row>
    <row r="18" spans="1:20" x14ac:dyDescent="0.25">
      <c r="A18" s="160" t="s">
        <v>60</v>
      </c>
      <c r="B18" s="161"/>
      <c r="C18" s="161"/>
      <c r="D18" s="161"/>
      <c r="E18" s="162"/>
      <c r="F18" s="93">
        <f>ROUND(74448/2088,2)</f>
        <v>35.659999999999997</v>
      </c>
      <c r="G18" s="94">
        <v>528</v>
      </c>
      <c r="H18" s="38">
        <f t="shared" si="0"/>
        <v>18828</v>
      </c>
      <c r="I18" s="93">
        <f t="shared" si="1"/>
        <v>37.086399999999998</v>
      </c>
      <c r="J18" s="94">
        <v>528</v>
      </c>
      <c r="K18" s="38">
        <f t="shared" si="2"/>
        <v>19582</v>
      </c>
      <c r="L18" s="93">
        <f t="shared" si="3"/>
        <v>38.569855999999994</v>
      </c>
      <c r="M18" s="94">
        <v>528</v>
      </c>
      <c r="N18" s="38">
        <f t="shared" si="4"/>
        <v>20365</v>
      </c>
      <c r="O18" s="38">
        <f t="shared" si="5"/>
        <v>58775</v>
      </c>
      <c r="Q18" s="204">
        <f>G18/2088</f>
        <v>0.25287356321839083</v>
      </c>
      <c r="R18" s="204">
        <f>J18/2088</f>
        <v>0.25287356321839083</v>
      </c>
      <c r="S18" s="204">
        <f>M18/2088</f>
        <v>0.25287356321839083</v>
      </c>
      <c r="T18" s="204">
        <f>(G18+J18+M18)/(2088*3)</f>
        <v>0.25287356321839083</v>
      </c>
    </row>
    <row r="19" spans="1:20" x14ac:dyDescent="0.25">
      <c r="A19" s="160" t="s">
        <v>61</v>
      </c>
      <c r="B19" s="161"/>
      <c r="C19" s="161"/>
      <c r="D19" s="161"/>
      <c r="E19" s="162"/>
      <c r="F19" s="93">
        <f>ROUND(76406/2088,2)</f>
        <v>36.590000000000003</v>
      </c>
      <c r="G19" s="94">
        <v>160</v>
      </c>
      <c r="H19" s="38">
        <f t="shared" si="0"/>
        <v>5854</v>
      </c>
      <c r="I19" s="93">
        <f t="shared" si="1"/>
        <v>38.053600000000003</v>
      </c>
      <c r="J19" s="94">
        <v>320</v>
      </c>
      <c r="K19" s="38">
        <f t="shared" si="2"/>
        <v>12177</v>
      </c>
      <c r="L19" s="93">
        <f t="shared" si="3"/>
        <v>39.575744</v>
      </c>
      <c r="M19" s="94">
        <v>320</v>
      </c>
      <c r="N19" s="38">
        <f t="shared" si="4"/>
        <v>12664</v>
      </c>
      <c r="O19" s="38">
        <f t="shared" si="5"/>
        <v>30695</v>
      </c>
      <c r="Q19" s="204">
        <f>G19/2088</f>
        <v>7.662835249042145E-2</v>
      </c>
      <c r="R19" s="204">
        <f>J19/2088</f>
        <v>0.1532567049808429</v>
      </c>
      <c r="S19" s="204">
        <f>M19/2088</f>
        <v>0.1532567049808429</v>
      </c>
      <c r="T19" s="204">
        <f>(G19+J19+M19)/(2088*3)</f>
        <v>0.1277139208173691</v>
      </c>
    </row>
    <row r="20" spans="1:20" hidden="1" x14ac:dyDescent="0.25">
      <c r="A20" s="160" t="s">
        <v>102</v>
      </c>
      <c r="B20" s="161"/>
      <c r="C20" s="161"/>
      <c r="D20" s="161"/>
      <c r="E20" s="162"/>
      <c r="F20" s="93">
        <v>50.29</v>
      </c>
      <c r="G20" s="94">
        <v>0</v>
      </c>
      <c r="H20" s="38">
        <f t="shared" si="0"/>
        <v>0</v>
      </c>
      <c r="I20" s="93">
        <f t="shared" si="1"/>
        <v>52.301600000000001</v>
      </c>
      <c r="J20" s="94">
        <v>0</v>
      </c>
      <c r="K20" s="38">
        <f t="shared" si="2"/>
        <v>0</v>
      </c>
      <c r="L20" s="93">
        <f t="shared" si="3"/>
        <v>54.393664000000001</v>
      </c>
      <c r="M20" s="94">
        <v>0</v>
      </c>
      <c r="N20" s="38">
        <f t="shared" si="4"/>
        <v>0</v>
      </c>
      <c r="O20" s="38">
        <f t="shared" si="5"/>
        <v>0</v>
      </c>
      <c r="Q20" s="204"/>
      <c r="R20" s="204"/>
      <c r="S20" s="204"/>
      <c r="T20" s="204"/>
    </row>
    <row r="21" spans="1:20" x14ac:dyDescent="0.25">
      <c r="A21" s="160" t="s">
        <v>62</v>
      </c>
      <c r="B21" s="161"/>
      <c r="C21" s="161"/>
      <c r="D21" s="161"/>
      <c r="E21" s="162"/>
      <c r="F21" s="93">
        <f>ROUND(76470/2088,2)</f>
        <v>36.619999999999997</v>
      </c>
      <c r="G21" s="94">
        <v>160</v>
      </c>
      <c r="H21" s="38">
        <f t="shared" si="0"/>
        <v>5859</v>
      </c>
      <c r="I21" s="93">
        <f t="shared" si="1"/>
        <v>38.084799999999994</v>
      </c>
      <c r="J21" s="94">
        <v>320</v>
      </c>
      <c r="K21" s="38">
        <f t="shared" si="2"/>
        <v>12187</v>
      </c>
      <c r="L21" s="93">
        <f t="shared" si="3"/>
        <v>39.608191999999995</v>
      </c>
      <c r="M21" s="94">
        <v>320</v>
      </c>
      <c r="N21" s="38">
        <f t="shared" si="4"/>
        <v>12675</v>
      </c>
      <c r="O21" s="38">
        <f t="shared" si="5"/>
        <v>30721</v>
      </c>
      <c r="Q21" s="204">
        <f>G21/2088</f>
        <v>7.662835249042145E-2</v>
      </c>
      <c r="R21" s="204">
        <f>J21/2088</f>
        <v>0.1532567049808429</v>
      </c>
      <c r="S21" s="204">
        <f>M21/2088</f>
        <v>0.1532567049808429</v>
      </c>
      <c r="T21" s="204">
        <f>(G21+J21+M21)/(2088*3)</f>
        <v>0.1277139208173691</v>
      </c>
    </row>
    <row r="22" spans="1:20" hidden="1" x14ac:dyDescent="0.25">
      <c r="A22" s="163" t="s">
        <v>103</v>
      </c>
      <c r="B22" s="164"/>
      <c r="C22" s="164"/>
      <c r="D22" s="164"/>
      <c r="E22" s="165"/>
      <c r="F22" s="95"/>
      <c r="G22" s="96"/>
      <c r="H22" s="88"/>
      <c r="I22" s="95"/>
      <c r="J22" s="96"/>
      <c r="K22" s="88"/>
      <c r="L22" s="95"/>
      <c r="M22" s="96"/>
      <c r="N22" s="88"/>
      <c r="O22" s="97"/>
      <c r="Q22" s="204" t="s">
        <v>35</v>
      </c>
      <c r="R22" s="204"/>
      <c r="S22" s="204"/>
      <c r="T22" s="204"/>
    </row>
    <row r="23" spans="1:20" hidden="1" x14ac:dyDescent="0.25">
      <c r="A23" s="160" t="s">
        <v>106</v>
      </c>
      <c r="B23" s="161"/>
      <c r="C23" s="161"/>
      <c r="D23" s="161"/>
      <c r="E23" s="162"/>
      <c r="F23" s="93">
        <v>30</v>
      </c>
      <c r="G23" s="94">
        <v>0</v>
      </c>
      <c r="H23" s="38">
        <f>ROUND(G23*F23,0)</f>
        <v>0</v>
      </c>
      <c r="I23" s="93">
        <f>F23+(F23*S$4)</f>
        <v>31.2</v>
      </c>
      <c r="J23" s="94">
        <v>0</v>
      </c>
      <c r="K23" s="38">
        <f>ROUND(J23*I23,0)</f>
        <v>0</v>
      </c>
      <c r="L23" s="93">
        <f>I23+(I23*S$4)</f>
        <v>32.448</v>
      </c>
      <c r="M23" s="94">
        <v>0</v>
      </c>
      <c r="N23" s="38">
        <f>ROUND(L23*M23,0)</f>
        <v>0</v>
      </c>
      <c r="O23" s="38">
        <f>H23+K23+N23</f>
        <v>0</v>
      </c>
      <c r="Q23" s="204"/>
      <c r="R23" s="204"/>
      <c r="S23" s="204"/>
      <c r="T23" s="204"/>
    </row>
    <row r="24" spans="1:20" hidden="1" x14ac:dyDescent="0.25">
      <c r="A24" s="160" t="s">
        <v>107</v>
      </c>
      <c r="B24" s="161"/>
      <c r="C24" s="161"/>
      <c r="D24" s="161"/>
      <c r="E24" s="162"/>
      <c r="F24" s="93">
        <v>18</v>
      </c>
      <c r="G24" s="94">
        <v>0</v>
      </c>
      <c r="H24" s="38">
        <f>ROUND(G24*F24,0)</f>
        <v>0</v>
      </c>
      <c r="I24" s="93">
        <f>F24+(F24*S$4)</f>
        <v>18.72</v>
      </c>
      <c r="J24" s="94">
        <v>0</v>
      </c>
      <c r="K24" s="38">
        <f>ROUND(J24*I24,0)</f>
        <v>0</v>
      </c>
      <c r="L24" s="93">
        <f>I24+(I24*S$4)</f>
        <v>19.468799999999998</v>
      </c>
      <c r="M24" s="94">
        <v>0</v>
      </c>
      <c r="N24" s="38">
        <f>ROUND(L24*M24,0)</f>
        <v>0</v>
      </c>
      <c r="O24" s="38">
        <f>H24+K24+N24</f>
        <v>0</v>
      </c>
      <c r="Q24" s="204" t="s">
        <v>35</v>
      </c>
      <c r="R24" s="204"/>
      <c r="S24" s="204"/>
      <c r="T24" s="204"/>
    </row>
    <row r="25" spans="1:20" x14ac:dyDescent="0.25">
      <c r="A25" s="163" t="s">
        <v>104</v>
      </c>
      <c r="B25" s="164"/>
      <c r="C25" s="164"/>
      <c r="D25" s="164"/>
      <c r="E25" s="165"/>
      <c r="F25" s="95"/>
      <c r="G25" s="96"/>
      <c r="H25" s="88"/>
      <c r="I25" s="95"/>
      <c r="J25" s="96"/>
      <c r="K25" s="88"/>
      <c r="L25" s="95"/>
      <c r="M25" s="96"/>
      <c r="N25" s="88"/>
      <c r="O25" s="97"/>
      <c r="Q25" s="204"/>
      <c r="R25" s="204"/>
      <c r="S25" s="204"/>
      <c r="T25" s="204"/>
    </row>
    <row r="26" spans="1:20" x14ac:dyDescent="0.25">
      <c r="A26" s="160" t="s">
        <v>14</v>
      </c>
      <c r="B26" s="161"/>
      <c r="C26" s="161"/>
      <c r="D26" s="161"/>
      <c r="E26" s="162"/>
      <c r="F26" s="93">
        <v>22.8</v>
      </c>
      <c r="G26" s="94">
        <v>800</v>
      </c>
      <c r="H26" s="38">
        <f>ROUND(G26*F26,0)</f>
        <v>18240</v>
      </c>
      <c r="I26" s="93">
        <f>F26+(F26*S$4)</f>
        <v>23.712</v>
      </c>
      <c r="J26" s="94">
        <v>800</v>
      </c>
      <c r="K26" s="38">
        <f>ROUND(J26*I26,0)</f>
        <v>18970</v>
      </c>
      <c r="L26" s="93">
        <f>I26+(I26*S$4)</f>
        <v>24.66048</v>
      </c>
      <c r="M26" s="94">
        <v>800</v>
      </c>
      <c r="N26" s="38">
        <f>ROUND(L26*M26,0)</f>
        <v>19728</v>
      </c>
      <c r="O26" s="38">
        <f>H26+K26+N26</f>
        <v>56938</v>
      </c>
      <c r="Q26" s="204">
        <v>1</v>
      </c>
      <c r="R26" s="204">
        <v>1</v>
      </c>
      <c r="S26" s="204">
        <v>1</v>
      </c>
      <c r="T26" s="204">
        <v>1</v>
      </c>
    </row>
    <row r="27" spans="1:20" x14ac:dyDescent="0.25">
      <c r="A27" s="160" t="s">
        <v>15</v>
      </c>
      <c r="B27" s="161"/>
      <c r="C27" s="161"/>
      <c r="D27" s="161"/>
      <c r="E27" s="162"/>
      <c r="F27" s="93">
        <v>29.44</v>
      </c>
      <c r="G27" s="94">
        <v>414</v>
      </c>
      <c r="H27" s="38">
        <f>ROUND(G27*F27,0)</f>
        <v>12188</v>
      </c>
      <c r="I27" s="93">
        <f>F27+(F27*S$4)</f>
        <v>30.617600000000003</v>
      </c>
      <c r="J27" s="94">
        <v>414</v>
      </c>
      <c r="K27" s="38">
        <f>ROUND(J27*I27,0)</f>
        <v>12676</v>
      </c>
      <c r="L27" s="93">
        <f>I27+(I27*S$4)</f>
        <v>31.842304000000002</v>
      </c>
      <c r="M27" s="94">
        <v>414</v>
      </c>
      <c r="N27" s="38">
        <f>ROUND(L27*M27,0)</f>
        <v>13183</v>
      </c>
      <c r="O27" s="38">
        <f>H27+K27+N27</f>
        <v>38047</v>
      </c>
      <c r="Q27" s="204"/>
      <c r="R27" s="204"/>
      <c r="S27" s="204"/>
      <c r="T27" s="204" t="s">
        <v>35</v>
      </c>
    </row>
    <row r="28" spans="1:20" s="10" customFormat="1" hidden="1" x14ac:dyDescent="0.25">
      <c r="A28" s="160" t="s">
        <v>98</v>
      </c>
      <c r="B28" s="161"/>
      <c r="C28" s="161"/>
      <c r="D28" s="161"/>
      <c r="E28" s="162"/>
      <c r="F28" s="93">
        <v>22.8</v>
      </c>
      <c r="G28" s="94">
        <v>0</v>
      </c>
      <c r="H28" s="38">
        <f>ROUND(G28*F28,0)</f>
        <v>0</v>
      </c>
      <c r="I28" s="93">
        <f>F28+(F28*S$4)</f>
        <v>23.712</v>
      </c>
      <c r="J28" s="94">
        <v>0</v>
      </c>
      <c r="K28" s="38">
        <f>ROUND(J28*I28,0)</f>
        <v>0</v>
      </c>
      <c r="L28" s="93">
        <f>I28+(I28*S$4)</f>
        <v>24.66048</v>
      </c>
      <c r="M28" s="94">
        <v>0</v>
      </c>
      <c r="N28" s="38">
        <f>ROUND(L28*M28,0)</f>
        <v>0</v>
      </c>
      <c r="O28" s="38">
        <f>H28+K28+N28</f>
        <v>0</v>
      </c>
      <c r="Q28" s="205"/>
      <c r="R28" s="205"/>
      <c r="S28" s="205"/>
      <c r="T28" s="205"/>
    </row>
    <row r="29" spans="1:20" x14ac:dyDescent="0.25">
      <c r="A29" s="163" t="s">
        <v>47</v>
      </c>
      <c r="B29" s="164"/>
      <c r="C29" s="164"/>
      <c r="D29" s="164"/>
      <c r="E29" s="165"/>
      <c r="F29" s="93"/>
      <c r="G29" s="94"/>
      <c r="H29" s="38"/>
      <c r="I29" s="93"/>
      <c r="J29" s="94"/>
      <c r="K29" s="38"/>
      <c r="L29" s="93"/>
      <c r="M29" s="94"/>
      <c r="N29" s="38"/>
      <c r="O29" s="38"/>
      <c r="Q29" s="204"/>
      <c r="R29" s="204"/>
      <c r="S29" s="204"/>
      <c r="T29" s="204"/>
    </row>
    <row r="30" spans="1:20" ht="15" customHeight="1" x14ac:dyDescent="0.25">
      <c r="A30" s="160" t="s">
        <v>57</v>
      </c>
      <c r="B30" s="161"/>
      <c r="C30" s="161"/>
      <c r="D30" s="161"/>
      <c r="E30" s="162"/>
      <c r="F30" s="93">
        <v>12</v>
      </c>
      <c r="G30" s="94">
        <v>200</v>
      </c>
      <c r="H30" s="38">
        <f>ROUND(G30*F30,0)</f>
        <v>2400</v>
      </c>
      <c r="I30" s="93">
        <f>F30+(F30*S$4)</f>
        <v>12.48</v>
      </c>
      <c r="J30" s="94">
        <v>200</v>
      </c>
      <c r="K30" s="39">
        <f>ROUND(J30*I30,0)</f>
        <v>2496</v>
      </c>
      <c r="L30" s="93">
        <f>I30+(I30*S$4)</f>
        <v>12.979200000000001</v>
      </c>
      <c r="M30" s="94">
        <v>200</v>
      </c>
      <c r="N30" s="38">
        <f>ROUND(L30*M30,0)</f>
        <v>2596</v>
      </c>
      <c r="O30" s="38">
        <f>H30+K30+N30</f>
        <v>7492</v>
      </c>
      <c r="Q30" s="204">
        <f>G30/2088</f>
        <v>9.5785440613026823E-2</v>
      </c>
      <c r="R30" s="204">
        <f>J30/2088</f>
        <v>9.5785440613026823E-2</v>
      </c>
      <c r="S30" s="204">
        <f>M30/2088</f>
        <v>9.5785440613026823E-2</v>
      </c>
      <c r="T30" s="204">
        <f>(G30+J30+M30)/(2088*3)</f>
        <v>9.5785440613026823E-2</v>
      </c>
    </row>
    <row r="31" spans="1:20" x14ac:dyDescent="0.25">
      <c r="A31" s="142" t="s">
        <v>16</v>
      </c>
      <c r="B31" s="142"/>
      <c r="C31" s="142"/>
      <c r="D31" s="142"/>
      <c r="E31" s="142"/>
      <c r="F31" s="89"/>
      <c r="G31" s="90">
        <f>SUM(G11:G30)</f>
        <v>3646.6666666666665</v>
      </c>
      <c r="H31" s="91">
        <f>SUM(H11:H30)</f>
        <v>128060</v>
      </c>
      <c r="I31" s="92"/>
      <c r="J31" s="90">
        <f>SUM(J11:J30)</f>
        <v>3966.6666666666665</v>
      </c>
      <c r="K31" s="91">
        <f>SUM(K11:K30)</f>
        <v>145367</v>
      </c>
      <c r="L31" s="89"/>
      <c r="M31" s="90">
        <f>SUM(M11:M30)</f>
        <v>3966.6666666666665</v>
      </c>
      <c r="N31" s="91">
        <f>SUM(N11:N30)</f>
        <v>151182</v>
      </c>
      <c r="O31" s="91">
        <f>H31+K31+N31</f>
        <v>424609</v>
      </c>
    </row>
    <row r="32" spans="1:20" ht="13.5" customHeight="1" x14ac:dyDescent="0.25">
      <c r="A32" s="200" t="s">
        <v>40</v>
      </c>
      <c r="B32" s="200"/>
      <c r="C32" s="200"/>
      <c r="D32" s="200"/>
      <c r="E32" s="201"/>
      <c r="F32" s="136" t="s">
        <v>17</v>
      </c>
      <c r="G32" s="136"/>
      <c r="H32" s="136"/>
      <c r="I32" s="135" t="s">
        <v>18</v>
      </c>
      <c r="J32" s="136"/>
      <c r="K32" s="137"/>
      <c r="L32" s="136" t="s">
        <v>37</v>
      </c>
      <c r="M32" s="136"/>
      <c r="N32" s="136"/>
      <c r="O32" s="7"/>
      <c r="T32" t="s">
        <v>35</v>
      </c>
    </row>
    <row r="33" spans="1:18" ht="15" customHeight="1" x14ac:dyDescent="0.25">
      <c r="A33" s="168" t="s">
        <v>45</v>
      </c>
      <c r="B33" s="168"/>
      <c r="C33" s="168"/>
      <c r="D33" s="168"/>
      <c r="E33" s="168"/>
      <c r="F33" s="34">
        <v>0.34899999999999998</v>
      </c>
      <c r="G33" s="40"/>
      <c r="H33" s="38">
        <f>ROUND(SUM(H11:H21)*F33,0)</f>
        <v>33236</v>
      </c>
      <c r="I33" s="35">
        <f>F33</f>
        <v>0.34899999999999998</v>
      </c>
      <c r="J33" s="43"/>
      <c r="K33" s="38">
        <f>ROUND(SUM(K11:K21)*I33,0)</f>
        <v>38818</v>
      </c>
      <c r="L33" s="36">
        <f>F33</f>
        <v>0.34899999999999998</v>
      </c>
      <c r="M33" s="43"/>
      <c r="N33" s="38">
        <f>ROUND(SUM(N11:N21)*L33,0)</f>
        <v>40371</v>
      </c>
      <c r="O33" s="53">
        <f>H33+K33+N33</f>
        <v>112425</v>
      </c>
    </row>
    <row r="34" spans="1:18" ht="15" customHeight="1" x14ac:dyDescent="0.25">
      <c r="A34" s="168" t="s">
        <v>46</v>
      </c>
      <c r="B34" s="168"/>
      <c r="C34" s="168"/>
      <c r="D34" s="168"/>
      <c r="E34" s="168"/>
      <c r="F34" s="34">
        <v>0.13400000000000001</v>
      </c>
      <c r="G34" s="41"/>
      <c r="H34" s="38">
        <f>ROUND(SUM(H26:H28)*F34,0)</f>
        <v>4077</v>
      </c>
      <c r="I34" s="35">
        <f>F34</f>
        <v>0.13400000000000001</v>
      </c>
      <c r="J34" s="41"/>
      <c r="K34" s="38">
        <f>ROUND(SUM(K26:K28)*I34,0)</f>
        <v>4241</v>
      </c>
      <c r="L34" s="36">
        <f>F34</f>
        <v>0.13400000000000001</v>
      </c>
      <c r="M34" s="41"/>
      <c r="N34" s="38">
        <f>ROUND(SUM(N26:N28)*L34,0)</f>
        <v>4410</v>
      </c>
      <c r="O34" s="53">
        <f>H34+K34+N34</f>
        <v>12728</v>
      </c>
    </row>
    <row r="35" spans="1:18" x14ac:dyDescent="0.25">
      <c r="A35" s="168" t="s">
        <v>47</v>
      </c>
      <c r="B35" s="168"/>
      <c r="C35" s="168"/>
      <c r="D35" s="168"/>
      <c r="E35" s="168"/>
      <c r="F35" s="37">
        <v>1.7000000000000001E-2</v>
      </c>
      <c r="G35" s="42"/>
      <c r="H35" s="38">
        <f>ROUND(SUM(H30)*F35,0)</f>
        <v>41</v>
      </c>
      <c r="I35" s="35">
        <f>F35</f>
        <v>1.7000000000000001E-2</v>
      </c>
      <c r="J35" s="42"/>
      <c r="K35" s="38">
        <f>ROUND(SUM(K30)*I35,0)</f>
        <v>42</v>
      </c>
      <c r="L35" s="35">
        <f>F35</f>
        <v>1.7000000000000001E-2</v>
      </c>
      <c r="M35" s="42"/>
      <c r="N35" s="38">
        <f>ROUND(SUM(N30)*L35,0)</f>
        <v>44</v>
      </c>
      <c r="O35" s="53">
        <f>H35+K35+N35</f>
        <v>127</v>
      </c>
    </row>
    <row r="36" spans="1:18" x14ac:dyDescent="0.25">
      <c r="A36" s="142" t="s">
        <v>19</v>
      </c>
      <c r="B36" s="142"/>
      <c r="C36" s="142"/>
      <c r="D36" s="142"/>
      <c r="E36" s="142"/>
      <c r="F36" s="24"/>
      <c r="G36" s="5"/>
      <c r="H36" s="33">
        <f>SUM(H33:H35)</f>
        <v>37354</v>
      </c>
      <c r="I36" s="98"/>
      <c r="J36" s="98"/>
      <c r="K36" s="80">
        <f>SUM(K33:K35)</f>
        <v>43101</v>
      </c>
      <c r="L36" s="100"/>
      <c r="M36" s="98"/>
      <c r="N36" s="33">
        <f>SUM(N33:N35)</f>
        <v>44825</v>
      </c>
      <c r="O36" s="33">
        <f>H36+K36+N36</f>
        <v>125280</v>
      </c>
    </row>
    <row r="37" spans="1:18" ht="20.25" customHeight="1" x14ac:dyDescent="0.25">
      <c r="A37" s="142" t="s">
        <v>20</v>
      </c>
      <c r="B37" s="142"/>
      <c r="C37" s="142"/>
      <c r="D37" s="142"/>
      <c r="E37" s="142"/>
      <c r="F37" s="25"/>
      <c r="G37" s="9"/>
      <c r="H37" s="33">
        <f>H31+H36</f>
        <v>165414</v>
      </c>
      <c r="I37" s="99"/>
      <c r="J37" s="99"/>
      <c r="K37" s="80">
        <f>K31+K36</f>
        <v>188468</v>
      </c>
      <c r="L37" s="101"/>
      <c r="M37" s="99"/>
      <c r="N37" s="33">
        <f>N31+N36</f>
        <v>196007</v>
      </c>
      <c r="O37" s="102">
        <f>H37+K37+N37</f>
        <v>549889</v>
      </c>
    </row>
    <row r="38" spans="1:18" x14ac:dyDescent="0.25">
      <c r="A38" s="145" t="s">
        <v>28</v>
      </c>
      <c r="B38" s="145"/>
      <c r="C38" s="145"/>
      <c r="D38" s="145"/>
      <c r="E38" s="146"/>
      <c r="F38" s="136" t="s">
        <v>17</v>
      </c>
      <c r="G38" s="136"/>
      <c r="H38" s="136"/>
      <c r="I38" s="135" t="s">
        <v>18</v>
      </c>
      <c r="J38" s="136"/>
      <c r="K38" s="137"/>
      <c r="L38" s="136" t="s">
        <v>37</v>
      </c>
      <c r="M38" s="136"/>
      <c r="N38" s="136"/>
      <c r="O38" s="12"/>
    </row>
    <row r="39" spans="1:18" x14ac:dyDescent="0.25">
      <c r="A39" s="141" t="s">
        <v>39</v>
      </c>
      <c r="B39" s="141"/>
      <c r="C39" s="141"/>
      <c r="D39" s="141"/>
      <c r="E39" s="141"/>
      <c r="F39" s="44"/>
      <c r="G39" s="45"/>
      <c r="H39" s="38">
        <v>1500</v>
      </c>
      <c r="I39" s="48"/>
      <c r="J39" s="48"/>
      <c r="K39" s="56">
        <v>1500</v>
      </c>
      <c r="L39" s="49"/>
      <c r="M39" s="48"/>
      <c r="N39" s="108">
        <v>1500</v>
      </c>
      <c r="O39" s="53">
        <f t="shared" ref="O39:O48" si="6">H39+K39+N39</f>
        <v>4500</v>
      </c>
    </row>
    <row r="40" spans="1:18" x14ac:dyDescent="0.25">
      <c r="A40" s="173" t="s">
        <v>101</v>
      </c>
      <c r="B40" s="173"/>
      <c r="C40" s="173"/>
      <c r="D40" s="173"/>
      <c r="E40" s="173"/>
      <c r="F40" s="44"/>
      <c r="G40" s="45"/>
      <c r="H40" s="38">
        <v>0</v>
      </c>
      <c r="I40" s="43"/>
      <c r="J40" s="48"/>
      <c r="K40" s="56">
        <v>1500</v>
      </c>
      <c r="L40" s="50"/>
      <c r="M40" s="43"/>
      <c r="N40" s="53">
        <v>1500</v>
      </c>
      <c r="O40" s="53">
        <f t="shared" si="6"/>
        <v>3000</v>
      </c>
    </row>
    <row r="41" spans="1:18" hidden="1" x14ac:dyDescent="0.25">
      <c r="A41" s="141" t="s">
        <v>41</v>
      </c>
      <c r="B41" s="141"/>
      <c r="C41" s="141"/>
      <c r="D41" s="141"/>
      <c r="E41" s="141"/>
      <c r="F41" s="44"/>
      <c r="G41" s="46"/>
      <c r="H41" s="38">
        <v>0</v>
      </c>
      <c r="I41" s="43"/>
      <c r="J41" s="48"/>
      <c r="K41" s="56">
        <f t="shared" ref="K41" si="7">ROUND(H41+(H41*S$4),0)</f>
        <v>0</v>
      </c>
      <c r="L41" s="50"/>
      <c r="M41" s="43"/>
      <c r="N41" s="53">
        <f t="shared" ref="N41" si="8">ROUND(K41+(K41*S$4),0)</f>
        <v>0</v>
      </c>
      <c r="O41" s="53">
        <f t="shared" si="6"/>
        <v>0</v>
      </c>
      <c r="Q41" s="6"/>
    </row>
    <row r="42" spans="1:18" x14ac:dyDescent="0.25">
      <c r="A42" s="169" t="s">
        <v>68</v>
      </c>
      <c r="B42" s="170"/>
      <c r="C42" s="170"/>
      <c r="D42" s="170"/>
      <c r="E42" s="171"/>
      <c r="F42" s="44"/>
      <c r="G42" s="47"/>
      <c r="H42" s="38">
        <v>5000</v>
      </c>
      <c r="I42" s="43"/>
      <c r="J42" s="48"/>
      <c r="K42" s="56">
        <v>5000</v>
      </c>
      <c r="L42" s="49"/>
      <c r="M42" s="48"/>
      <c r="N42" s="53">
        <v>5000</v>
      </c>
      <c r="O42" s="53">
        <f t="shared" si="6"/>
        <v>15000</v>
      </c>
    </row>
    <row r="43" spans="1:18" x14ac:dyDescent="0.25">
      <c r="A43" s="132" t="s">
        <v>108</v>
      </c>
      <c r="B43" s="133"/>
      <c r="C43" s="133"/>
      <c r="D43" s="133"/>
      <c r="E43" s="134"/>
      <c r="F43" s="44"/>
      <c r="G43" s="47"/>
      <c r="H43" s="38">
        <v>2500</v>
      </c>
      <c r="I43" s="43"/>
      <c r="J43" s="48"/>
      <c r="K43" s="56">
        <v>2500</v>
      </c>
      <c r="L43" s="49"/>
      <c r="M43" s="48"/>
      <c r="N43" s="53">
        <v>2500</v>
      </c>
      <c r="O43" s="53">
        <f t="shared" ref="O43" si="9">H43+K43+N43</f>
        <v>7500</v>
      </c>
      <c r="Q43" s="126">
        <f>O80</f>
        <v>7911038.0608000001</v>
      </c>
      <c r="R43" s="127">
        <v>7864150</v>
      </c>
    </row>
    <row r="44" spans="1:18" ht="15" customHeight="1" x14ac:dyDescent="0.25">
      <c r="A44" s="132" t="s">
        <v>69</v>
      </c>
      <c r="B44" s="133"/>
      <c r="C44" s="133"/>
      <c r="D44" s="133"/>
      <c r="E44" s="134"/>
      <c r="F44" s="44"/>
      <c r="G44" s="47"/>
      <c r="H44" s="38">
        <v>5000</v>
      </c>
      <c r="I44" s="43"/>
      <c r="J44" s="48"/>
      <c r="K44" s="56">
        <v>5000</v>
      </c>
      <c r="L44" s="49"/>
      <c r="M44" s="48"/>
      <c r="N44" s="53">
        <v>2000</v>
      </c>
      <c r="O44" s="53">
        <f t="shared" ref="O44" si="10">H44+K44+N44</f>
        <v>12000</v>
      </c>
    </row>
    <row r="45" spans="1:18" x14ac:dyDescent="0.25">
      <c r="A45" s="132" t="s">
        <v>70</v>
      </c>
      <c r="B45" s="133"/>
      <c r="C45" s="133"/>
      <c r="D45" s="133"/>
      <c r="E45" s="134"/>
      <c r="F45" s="44"/>
      <c r="G45" s="47"/>
      <c r="H45" s="38">
        <v>4000</v>
      </c>
      <c r="I45" s="43"/>
      <c r="J45" s="48"/>
      <c r="K45" s="56">
        <v>6000</v>
      </c>
      <c r="L45" s="49"/>
      <c r="M45" s="48"/>
      <c r="N45" s="53">
        <v>6000</v>
      </c>
      <c r="O45" s="53">
        <f t="shared" ref="O45" si="11">H45+K45+N45</f>
        <v>16000</v>
      </c>
    </row>
    <row r="46" spans="1:18" x14ac:dyDescent="0.25">
      <c r="A46" s="132" t="s">
        <v>95</v>
      </c>
      <c r="B46" s="133"/>
      <c r="C46" s="133"/>
      <c r="D46" s="133"/>
      <c r="E46" s="134"/>
      <c r="F46" s="44"/>
      <c r="G46" s="47"/>
      <c r="H46" s="38">
        <v>25000</v>
      </c>
      <c r="I46" s="43"/>
      <c r="J46" s="48"/>
      <c r="K46" s="56">
        <f>ROUND(H46+(H46*S$4),0)*0</f>
        <v>0</v>
      </c>
      <c r="L46" s="49"/>
      <c r="M46" s="48"/>
      <c r="N46" s="53">
        <f t="shared" ref="N46" si="12">ROUND(K46+(K46*S$4),0)</f>
        <v>0</v>
      </c>
      <c r="O46" s="53">
        <f t="shared" ref="O46" si="13">H46+K46+N46</f>
        <v>25000</v>
      </c>
    </row>
    <row r="47" spans="1:18" ht="15" customHeight="1" x14ac:dyDescent="0.25">
      <c r="A47" s="172" t="s">
        <v>29</v>
      </c>
      <c r="B47" s="172"/>
      <c r="C47" s="172"/>
      <c r="D47" s="172"/>
      <c r="E47" s="172"/>
      <c r="F47" s="51"/>
      <c r="G47" s="52"/>
      <c r="H47" s="59">
        <f>SUM(11372)</f>
        <v>11372</v>
      </c>
      <c r="I47" s="43"/>
      <c r="J47" s="48"/>
      <c r="K47" s="57">
        <f>H47+(H47*V4)</f>
        <v>12281.76</v>
      </c>
      <c r="L47" s="49"/>
      <c r="M47" s="48"/>
      <c r="N47" s="110">
        <f>K47+(K47*V4)</f>
        <v>13264.300800000001</v>
      </c>
      <c r="O47" s="103">
        <f t="shared" si="6"/>
        <v>36918.060800000007</v>
      </c>
    </row>
    <row r="48" spans="1:18" x14ac:dyDescent="0.25">
      <c r="A48" s="142" t="s">
        <v>30</v>
      </c>
      <c r="B48" s="142"/>
      <c r="C48" s="142"/>
      <c r="D48" s="142"/>
      <c r="E48" s="142"/>
      <c r="F48" s="26"/>
      <c r="G48" s="13"/>
      <c r="H48" s="102">
        <f>SUM(H39:H47)</f>
        <v>54372</v>
      </c>
      <c r="I48" s="13"/>
      <c r="J48" s="13"/>
      <c r="K48" s="58">
        <f>SUM(K39:K47)</f>
        <v>33781.760000000002</v>
      </c>
      <c r="L48" s="17"/>
      <c r="M48" s="13"/>
      <c r="N48" s="102">
        <f>SUM(N39:N47)</f>
        <v>31764.300800000001</v>
      </c>
      <c r="O48" s="102">
        <f t="shared" si="6"/>
        <v>119918.06080000001</v>
      </c>
    </row>
    <row r="49" spans="1:17" x14ac:dyDescent="0.25">
      <c r="A49" s="145" t="s">
        <v>21</v>
      </c>
      <c r="B49" s="145"/>
      <c r="C49" s="145"/>
      <c r="D49" s="145"/>
      <c r="E49" s="146"/>
      <c r="F49" s="136" t="s">
        <v>17</v>
      </c>
      <c r="G49" s="136"/>
      <c r="H49" s="136"/>
      <c r="I49" s="135" t="s">
        <v>18</v>
      </c>
      <c r="J49" s="136"/>
      <c r="K49" s="137"/>
      <c r="L49" s="136" t="s">
        <v>37</v>
      </c>
      <c r="M49" s="136"/>
      <c r="N49" s="136"/>
      <c r="O49" s="8"/>
    </row>
    <row r="50" spans="1:17" x14ac:dyDescent="0.25">
      <c r="A50" s="166" t="s">
        <v>35</v>
      </c>
      <c r="B50" s="166"/>
      <c r="C50" s="166"/>
      <c r="D50" s="166"/>
      <c r="E50" s="166"/>
      <c r="F50" s="62"/>
      <c r="G50" s="63" t="s">
        <v>22</v>
      </c>
      <c r="H50" s="64" t="s">
        <v>23</v>
      </c>
      <c r="I50" s="65"/>
      <c r="J50" s="63" t="s">
        <v>22</v>
      </c>
      <c r="K50" s="63" t="s">
        <v>23</v>
      </c>
      <c r="L50" s="66"/>
      <c r="M50" s="63" t="s">
        <v>22</v>
      </c>
      <c r="N50" s="64" t="s">
        <v>23</v>
      </c>
      <c r="O50" s="8"/>
      <c r="P50" s="16"/>
      <c r="Q50" s="14"/>
    </row>
    <row r="51" spans="1:17" x14ac:dyDescent="0.25">
      <c r="A51" s="167" t="s">
        <v>58</v>
      </c>
      <c r="B51" s="167"/>
      <c r="C51" s="167"/>
      <c r="D51" s="167"/>
      <c r="E51" s="167"/>
      <c r="F51" s="27"/>
      <c r="G51" s="67">
        <v>3600</v>
      </c>
      <c r="H51" s="68">
        <v>0</v>
      </c>
      <c r="I51" s="107"/>
      <c r="J51" s="67">
        <v>1500</v>
      </c>
      <c r="K51" s="67">
        <f>ROUND(H51+(H51*S$4),0)</f>
        <v>0</v>
      </c>
      <c r="L51" s="60"/>
      <c r="M51" s="67">
        <v>1500</v>
      </c>
      <c r="N51" s="68">
        <f>ROUND(K51+(K51*S$4),0)</f>
        <v>0</v>
      </c>
      <c r="O51" s="54">
        <f>G51+H51+J51+K51+M51+N51</f>
        <v>6600</v>
      </c>
      <c r="P51" s="16"/>
      <c r="Q51" s="14"/>
    </row>
    <row r="52" spans="1:17" x14ac:dyDescent="0.25">
      <c r="A52" s="143" t="s">
        <v>111</v>
      </c>
      <c r="B52" s="143"/>
      <c r="C52" s="143"/>
      <c r="D52" s="143"/>
      <c r="E52" s="143"/>
      <c r="F52" s="27"/>
      <c r="G52" s="67">
        <v>2256</v>
      </c>
      <c r="H52" s="68">
        <v>0</v>
      </c>
      <c r="I52" s="107"/>
      <c r="J52" s="67">
        <v>6300</v>
      </c>
      <c r="K52" s="67">
        <f>ROUND(H52+(H52*S$4),0)</f>
        <v>0</v>
      </c>
      <c r="L52" s="60"/>
      <c r="M52" s="67">
        <v>6300</v>
      </c>
      <c r="N52" s="68">
        <f>ROUND(K52+(K52*S$4),0)</f>
        <v>0</v>
      </c>
      <c r="O52" s="54">
        <f>G52+H52+J52+K52+M52+N52</f>
        <v>14856</v>
      </c>
      <c r="P52" s="16"/>
      <c r="Q52" s="14"/>
    </row>
    <row r="53" spans="1:17" x14ac:dyDescent="0.25">
      <c r="A53" s="143" t="s">
        <v>112</v>
      </c>
      <c r="B53" s="143"/>
      <c r="C53" s="143"/>
      <c r="D53" s="143"/>
      <c r="E53" s="143"/>
      <c r="F53" s="27"/>
      <c r="G53" s="67">
        <v>648</v>
      </c>
      <c r="H53" s="68">
        <v>0</v>
      </c>
      <c r="I53" s="107"/>
      <c r="J53" s="67">
        <v>1500</v>
      </c>
      <c r="K53" s="67">
        <f>ROUND(H53+(H53*S$4),0)</f>
        <v>0</v>
      </c>
      <c r="L53" s="60"/>
      <c r="M53" s="67">
        <v>1500</v>
      </c>
      <c r="N53" s="68">
        <f>ROUND(K53+(K53*S$4),0)</f>
        <v>0</v>
      </c>
      <c r="O53" s="54">
        <f>G53+H53+J53+K53+M53+N53</f>
        <v>3648</v>
      </c>
      <c r="P53" s="16"/>
      <c r="Q53" t="s">
        <v>35</v>
      </c>
    </row>
    <row r="54" spans="1:17" x14ac:dyDescent="0.25">
      <c r="A54" s="143" t="s">
        <v>113</v>
      </c>
      <c r="B54" s="143"/>
      <c r="C54" s="143"/>
      <c r="D54" s="143"/>
      <c r="E54" s="143"/>
      <c r="F54" s="27"/>
      <c r="G54" s="69">
        <v>600</v>
      </c>
      <c r="H54" s="70">
        <v>0</v>
      </c>
      <c r="I54" s="107"/>
      <c r="J54" s="69">
        <v>3000</v>
      </c>
      <c r="K54" s="70">
        <f>ROUND(H54+(H54*S$4),0)</f>
        <v>0</v>
      </c>
      <c r="L54" s="61"/>
      <c r="M54" s="69">
        <v>3000</v>
      </c>
      <c r="N54" s="70">
        <f>ROUND(K54+(K54*S$4),0)</f>
        <v>0</v>
      </c>
      <c r="O54" s="55">
        <f>G54+H54+J54+K54+M54+N54</f>
        <v>6600</v>
      </c>
    </row>
    <row r="55" spans="1:17" ht="15" customHeight="1" x14ac:dyDescent="0.25">
      <c r="A55" s="144" t="s">
        <v>26</v>
      </c>
      <c r="B55" s="144"/>
      <c r="C55" s="144"/>
      <c r="D55" s="144"/>
      <c r="E55" s="144"/>
      <c r="F55" s="27"/>
      <c r="G55" s="67">
        <f>SUM(G51:G54)</f>
        <v>7104</v>
      </c>
      <c r="H55" s="68">
        <f>SUM(H51:H54)</f>
        <v>0</v>
      </c>
      <c r="I55" s="107"/>
      <c r="J55" s="67">
        <f>SUM(J51:J54)</f>
        <v>12300</v>
      </c>
      <c r="K55" s="67">
        <f>SUM(K51:K54)</f>
        <v>0</v>
      </c>
      <c r="L55" s="60"/>
      <c r="M55" s="67">
        <f>SUM(M51:M54)</f>
        <v>12300</v>
      </c>
      <c r="N55" s="70">
        <f>SUM(N51:N54)</f>
        <v>0</v>
      </c>
      <c r="O55" s="54"/>
    </row>
    <row r="56" spans="1:17" s="10" customFormat="1" ht="15" customHeight="1" x14ac:dyDescent="0.25">
      <c r="A56" s="142" t="s">
        <v>27</v>
      </c>
      <c r="B56" s="142"/>
      <c r="C56" s="142"/>
      <c r="D56" s="142"/>
      <c r="E56" s="142"/>
      <c r="F56" s="28"/>
      <c r="G56" s="147">
        <f>G55+H55</f>
        <v>7104</v>
      </c>
      <c r="H56" s="148"/>
      <c r="I56" s="86"/>
      <c r="J56" s="147">
        <f>J55+K55</f>
        <v>12300</v>
      </c>
      <c r="K56" s="148"/>
      <c r="L56" s="104"/>
      <c r="M56" s="147">
        <f>M55+N55</f>
        <v>12300</v>
      </c>
      <c r="N56" s="148"/>
      <c r="O56" s="33">
        <f>G56+J56+M56</f>
        <v>31704</v>
      </c>
      <c r="P56"/>
      <c r="Q56" s="10" t="s">
        <v>35</v>
      </c>
    </row>
    <row r="57" spans="1:17" x14ac:dyDescent="0.25">
      <c r="A57" s="145" t="s">
        <v>36</v>
      </c>
      <c r="B57" s="145"/>
      <c r="C57" s="145"/>
      <c r="D57" s="145"/>
      <c r="E57" s="146"/>
      <c r="F57" s="136" t="s">
        <v>17</v>
      </c>
      <c r="G57" s="136"/>
      <c r="H57" s="136"/>
      <c r="I57" s="135" t="s">
        <v>18</v>
      </c>
      <c r="J57" s="136"/>
      <c r="K57" s="137"/>
      <c r="L57" s="136" t="s">
        <v>37</v>
      </c>
      <c r="M57" s="136"/>
      <c r="N57" s="136"/>
      <c r="O57" s="12"/>
      <c r="P57" s="10"/>
    </row>
    <row r="58" spans="1:17" x14ac:dyDescent="0.25">
      <c r="A58" s="174" t="s">
        <v>99</v>
      </c>
      <c r="B58" s="174"/>
      <c r="C58" s="174"/>
      <c r="D58" s="174"/>
      <c r="E58" s="174"/>
      <c r="F58" s="44"/>
      <c r="G58" s="45"/>
      <c r="H58" s="53">
        <v>32640</v>
      </c>
      <c r="I58" s="48"/>
      <c r="J58" s="48"/>
      <c r="K58" s="56">
        <v>0</v>
      </c>
      <c r="L58" s="49"/>
      <c r="M58" s="48"/>
      <c r="N58" s="53">
        <v>0</v>
      </c>
      <c r="O58" s="53">
        <f t="shared" ref="O58:O64" si="14">H58+K58+N58</f>
        <v>32640</v>
      </c>
    </row>
    <row r="59" spans="1:17" hidden="1" x14ac:dyDescent="0.25">
      <c r="A59" s="129"/>
      <c r="B59" s="130"/>
      <c r="C59" s="130"/>
      <c r="D59" s="130"/>
      <c r="E59" s="131"/>
      <c r="F59" s="44"/>
      <c r="G59" s="45"/>
      <c r="H59" s="38">
        <v>0</v>
      </c>
      <c r="I59" s="71"/>
      <c r="J59" s="71"/>
      <c r="K59" s="72">
        <v>0</v>
      </c>
      <c r="L59" s="73"/>
      <c r="M59" s="71"/>
      <c r="N59" s="38">
        <v>0</v>
      </c>
      <c r="O59" s="53">
        <f t="shared" ref="O59" si="15">H59+K59+N59</f>
        <v>0</v>
      </c>
    </row>
    <row r="60" spans="1:17" x14ac:dyDescent="0.25">
      <c r="A60" s="174" t="s">
        <v>100</v>
      </c>
      <c r="B60" s="174"/>
      <c r="C60" s="174"/>
      <c r="D60" s="174"/>
      <c r="E60" s="174"/>
      <c r="F60" s="44"/>
      <c r="G60" s="45"/>
      <c r="H60" s="53">
        <v>110000</v>
      </c>
      <c r="I60" s="48"/>
      <c r="J60" s="48"/>
      <c r="K60" s="56">
        <v>0</v>
      </c>
      <c r="L60" s="49"/>
      <c r="M60" s="48"/>
      <c r="N60" s="53">
        <v>0</v>
      </c>
      <c r="O60" s="53">
        <f t="shared" si="14"/>
        <v>110000</v>
      </c>
    </row>
    <row r="61" spans="1:17" hidden="1" x14ac:dyDescent="0.25">
      <c r="A61" s="173"/>
      <c r="B61" s="173"/>
      <c r="C61" s="173"/>
      <c r="D61" s="173"/>
      <c r="E61" s="173"/>
      <c r="F61" s="44"/>
      <c r="G61" s="45"/>
      <c r="H61" s="38">
        <v>0</v>
      </c>
      <c r="I61" s="71"/>
      <c r="J61" s="71"/>
      <c r="K61" s="72">
        <v>0</v>
      </c>
      <c r="L61" s="73"/>
      <c r="M61" s="71"/>
      <c r="N61" s="38">
        <v>0</v>
      </c>
      <c r="O61" s="53">
        <f t="shared" si="14"/>
        <v>0</v>
      </c>
    </row>
    <row r="62" spans="1:17" hidden="1" x14ac:dyDescent="0.25">
      <c r="A62" s="128" t="s">
        <v>35</v>
      </c>
      <c r="B62" s="128"/>
      <c r="C62" s="128"/>
      <c r="D62" s="128"/>
      <c r="E62" s="128"/>
      <c r="F62" s="44"/>
      <c r="G62" s="45"/>
      <c r="H62" s="38">
        <v>0</v>
      </c>
      <c r="I62" s="71"/>
      <c r="J62" s="71"/>
      <c r="K62" s="72">
        <v>0</v>
      </c>
      <c r="L62" s="73"/>
      <c r="M62" s="71"/>
      <c r="N62" s="38">
        <v>0</v>
      </c>
      <c r="O62" s="53">
        <f t="shared" si="14"/>
        <v>0</v>
      </c>
    </row>
    <row r="63" spans="1:17" hidden="1" x14ac:dyDescent="0.25">
      <c r="A63" s="128" t="s">
        <v>35</v>
      </c>
      <c r="B63" s="128"/>
      <c r="C63" s="128"/>
      <c r="D63" s="128"/>
      <c r="E63" s="128"/>
      <c r="F63" s="44"/>
      <c r="G63" s="45"/>
      <c r="H63" s="38">
        <v>0</v>
      </c>
      <c r="I63" s="71"/>
      <c r="J63" s="71"/>
      <c r="K63" s="72">
        <v>0</v>
      </c>
      <c r="L63" s="73"/>
      <c r="M63" s="71"/>
      <c r="N63" s="38">
        <v>0</v>
      </c>
      <c r="O63" s="53">
        <f t="shared" si="14"/>
        <v>0</v>
      </c>
    </row>
    <row r="64" spans="1:17" x14ac:dyDescent="0.25">
      <c r="A64" s="142" t="s">
        <v>38</v>
      </c>
      <c r="B64" s="142"/>
      <c r="C64" s="142"/>
      <c r="D64" s="142"/>
      <c r="E64" s="142"/>
      <c r="F64" s="105"/>
      <c r="G64" s="58"/>
      <c r="H64" s="102">
        <f>SUM(H58:H61)</f>
        <v>142640</v>
      </c>
      <c r="I64" s="58"/>
      <c r="J64" s="58"/>
      <c r="K64" s="58">
        <f>SUM(K58:K61)</f>
        <v>0</v>
      </c>
      <c r="L64" s="106"/>
      <c r="M64" s="58"/>
      <c r="N64" s="102">
        <f>SUM(N58:N61)</f>
        <v>0</v>
      </c>
      <c r="O64" s="102">
        <f t="shared" si="14"/>
        <v>142640</v>
      </c>
    </row>
    <row r="65" spans="1:18" x14ac:dyDescent="0.25">
      <c r="A65" s="145" t="s">
        <v>43</v>
      </c>
      <c r="B65" s="145"/>
      <c r="C65" s="145"/>
      <c r="D65" s="145"/>
      <c r="E65" s="146"/>
      <c r="F65" s="136" t="s">
        <v>17</v>
      </c>
      <c r="G65" s="136"/>
      <c r="H65" s="136"/>
      <c r="I65" s="135" t="s">
        <v>18</v>
      </c>
      <c r="J65" s="136"/>
      <c r="K65" s="137"/>
      <c r="L65" s="136" t="s">
        <v>37</v>
      </c>
      <c r="M65" s="136"/>
      <c r="N65" s="136"/>
      <c r="O65" s="12"/>
    </row>
    <row r="66" spans="1:18" x14ac:dyDescent="0.25">
      <c r="A66" s="141" t="s">
        <v>67</v>
      </c>
      <c r="B66" s="141"/>
      <c r="C66" s="141"/>
      <c r="D66" s="141"/>
      <c r="E66" s="141"/>
      <c r="F66" s="44"/>
      <c r="G66" s="45"/>
      <c r="H66" s="53">
        <v>775002</v>
      </c>
      <c r="I66" s="48"/>
      <c r="J66" s="48"/>
      <c r="K66" s="56">
        <v>711356</v>
      </c>
      <c r="L66" s="49"/>
      <c r="M66" s="48"/>
      <c r="N66" s="53">
        <v>623060</v>
      </c>
      <c r="O66" s="53">
        <f t="shared" ref="O66:O72" si="16">H66+K66+N66</f>
        <v>2109418</v>
      </c>
    </row>
    <row r="67" spans="1:18" x14ac:dyDescent="0.25">
      <c r="A67" s="128" t="s">
        <v>65</v>
      </c>
      <c r="B67" s="128"/>
      <c r="C67" s="128"/>
      <c r="D67" s="128"/>
      <c r="E67" s="128"/>
      <c r="F67" s="44"/>
      <c r="G67" s="45"/>
      <c r="H67" s="38">
        <v>767880</v>
      </c>
      <c r="I67" s="71"/>
      <c r="J67" s="71"/>
      <c r="K67" s="72">
        <v>423130</v>
      </c>
      <c r="L67" s="73"/>
      <c r="M67" s="71"/>
      <c r="N67" s="38">
        <v>145285</v>
      </c>
      <c r="O67" s="53">
        <f t="shared" si="16"/>
        <v>1336295</v>
      </c>
    </row>
    <row r="68" spans="1:18" x14ac:dyDescent="0.25">
      <c r="A68" s="128" t="s">
        <v>66</v>
      </c>
      <c r="B68" s="128"/>
      <c r="C68" s="128"/>
      <c r="D68" s="128"/>
      <c r="E68" s="128"/>
      <c r="F68" s="44"/>
      <c r="G68" s="45"/>
      <c r="H68" s="38">
        <v>1422671</v>
      </c>
      <c r="I68" s="71"/>
      <c r="J68" s="71"/>
      <c r="K68" s="72">
        <v>817153</v>
      </c>
      <c r="L68" s="73"/>
      <c r="M68" s="71"/>
      <c r="N68" s="38">
        <v>837601</v>
      </c>
      <c r="O68" s="53">
        <f t="shared" si="16"/>
        <v>3077425</v>
      </c>
    </row>
    <row r="69" spans="1:18" x14ac:dyDescent="0.25">
      <c r="A69" s="128" t="s">
        <v>109</v>
      </c>
      <c r="B69" s="128"/>
      <c r="C69" s="128"/>
      <c r="D69" s="128"/>
      <c r="E69" s="128"/>
      <c r="F69" s="44"/>
      <c r="G69" s="45"/>
      <c r="H69" s="38">
        <v>27062</v>
      </c>
      <c r="I69" s="71"/>
      <c r="J69" s="71"/>
      <c r="K69" s="72">
        <v>28155</v>
      </c>
      <c r="L69" s="73"/>
      <c r="M69" s="71"/>
      <c r="N69" s="38">
        <v>26100</v>
      </c>
      <c r="O69" s="53">
        <f t="shared" si="16"/>
        <v>81317</v>
      </c>
    </row>
    <row r="70" spans="1:18" ht="14.25" customHeight="1" x14ac:dyDescent="0.25">
      <c r="A70" s="128" t="s">
        <v>115</v>
      </c>
      <c r="B70" s="128"/>
      <c r="C70" s="128"/>
      <c r="D70" s="128"/>
      <c r="E70" s="128"/>
      <c r="F70" s="44"/>
      <c r="G70" s="45"/>
      <c r="H70" s="38">
        <v>20000</v>
      </c>
      <c r="I70" s="71"/>
      <c r="J70" s="71"/>
      <c r="K70" s="72">
        <v>10000</v>
      </c>
      <c r="L70" s="73"/>
      <c r="M70" s="71"/>
      <c r="N70" s="38">
        <v>10000</v>
      </c>
      <c r="O70" s="53">
        <f t="shared" si="16"/>
        <v>40000</v>
      </c>
    </row>
    <row r="71" spans="1:18" hidden="1" x14ac:dyDescent="0.25">
      <c r="A71" s="128"/>
      <c r="B71" s="128"/>
      <c r="C71" s="128"/>
      <c r="D71" s="128"/>
      <c r="E71" s="128"/>
      <c r="F71" s="44"/>
      <c r="G71" s="45"/>
      <c r="H71" s="38">
        <v>0</v>
      </c>
      <c r="I71" s="71"/>
      <c r="J71" s="71"/>
      <c r="K71" s="72">
        <v>0</v>
      </c>
      <c r="L71" s="73"/>
      <c r="M71" s="71"/>
      <c r="N71" s="38">
        <v>0</v>
      </c>
      <c r="O71" s="53">
        <f t="shared" si="16"/>
        <v>0</v>
      </c>
    </row>
    <row r="72" spans="1:18" x14ac:dyDescent="0.25">
      <c r="A72" s="142" t="s">
        <v>44</v>
      </c>
      <c r="B72" s="142"/>
      <c r="C72" s="142"/>
      <c r="D72" s="142"/>
      <c r="E72" s="142"/>
      <c r="F72" s="26"/>
      <c r="G72" s="58"/>
      <c r="H72" s="102">
        <f>SUM(H66:H71)</f>
        <v>3012615</v>
      </c>
      <c r="I72" s="58"/>
      <c r="J72" s="58"/>
      <c r="K72" s="58">
        <f>SUM(K66:K71)</f>
        <v>1989794</v>
      </c>
      <c r="L72" s="106"/>
      <c r="M72" s="58"/>
      <c r="N72" s="102">
        <f>SUM(N66:N71)</f>
        <v>1642046</v>
      </c>
      <c r="O72" s="102">
        <f t="shared" si="16"/>
        <v>6644455</v>
      </c>
    </row>
    <row r="73" spans="1:18" x14ac:dyDescent="0.25">
      <c r="A73" s="159" t="s">
        <v>35</v>
      </c>
      <c r="B73" s="159"/>
      <c r="C73" s="159"/>
      <c r="D73" s="159"/>
      <c r="E73" s="159"/>
      <c r="F73" s="138" t="s">
        <v>17</v>
      </c>
      <c r="G73" s="139"/>
      <c r="H73" s="139"/>
      <c r="I73" s="139" t="s">
        <v>18</v>
      </c>
      <c r="J73" s="138"/>
      <c r="K73" s="140"/>
      <c r="L73" s="138" t="s">
        <v>37</v>
      </c>
      <c r="M73" s="138"/>
      <c r="N73" s="138"/>
      <c r="O73" s="15"/>
    </row>
    <row r="74" spans="1:18" x14ac:dyDescent="0.25">
      <c r="A74" s="150" t="s">
        <v>51</v>
      </c>
      <c r="B74" s="150"/>
      <c r="C74" s="150"/>
      <c r="D74" s="150"/>
      <c r="E74" s="150"/>
      <c r="F74" s="111"/>
      <c r="G74" s="112"/>
      <c r="H74" s="206">
        <f>H37+H48+G56+H64+H72</f>
        <v>3382145</v>
      </c>
      <c r="I74" s="207"/>
      <c r="J74" s="207"/>
      <c r="K74" s="206">
        <f>K37+K48+J56+K64+K72</f>
        <v>2224343.7599999998</v>
      </c>
      <c r="L74" s="208"/>
      <c r="M74" s="207"/>
      <c r="N74" s="206">
        <f>N37+N48+M56+N64+N72</f>
        <v>1882117.3008000001</v>
      </c>
      <c r="O74" s="206">
        <f t="shared" ref="O74:O80" si="17">H74+K74+N74</f>
        <v>7488606.0608000001</v>
      </c>
    </row>
    <row r="75" spans="1:18" x14ac:dyDescent="0.25">
      <c r="A75" s="151" t="s">
        <v>52</v>
      </c>
      <c r="B75" s="151"/>
      <c r="C75" s="151"/>
      <c r="D75" s="151"/>
      <c r="E75" s="151"/>
      <c r="F75" s="75"/>
      <c r="G75" s="76"/>
      <c r="H75" s="54">
        <f>-H47</f>
        <v>-11372</v>
      </c>
      <c r="I75" s="115"/>
      <c r="J75" s="115"/>
      <c r="K75" s="54">
        <f>-K47</f>
        <v>-12281.76</v>
      </c>
      <c r="L75" s="116"/>
      <c r="M75" s="115"/>
      <c r="N75" s="54">
        <f>-N47</f>
        <v>-13264.300800000001</v>
      </c>
      <c r="O75" s="54">
        <f t="shared" si="17"/>
        <v>-36918.060800000007</v>
      </c>
    </row>
    <row r="76" spans="1:18" x14ac:dyDescent="0.25">
      <c r="A76" s="153" t="s">
        <v>48</v>
      </c>
      <c r="B76" s="154"/>
      <c r="C76" s="154"/>
      <c r="D76" s="154"/>
      <c r="E76" s="155"/>
      <c r="F76" s="75"/>
      <c r="G76" s="76"/>
      <c r="H76" s="54">
        <f>-H64+-H72</f>
        <v>-3155255</v>
      </c>
      <c r="I76" s="115"/>
      <c r="J76" s="115"/>
      <c r="K76" s="54">
        <f>-K64+-K72</f>
        <v>-1989794</v>
      </c>
      <c r="L76" s="116"/>
      <c r="M76" s="115"/>
      <c r="N76" s="54">
        <f>-N64+-N72</f>
        <v>-1642046</v>
      </c>
      <c r="O76" s="54">
        <f t="shared" si="17"/>
        <v>-6787095</v>
      </c>
    </row>
    <row r="77" spans="1:18" x14ac:dyDescent="0.25">
      <c r="A77" s="153" t="s">
        <v>49</v>
      </c>
      <c r="B77" s="154"/>
      <c r="C77" s="154"/>
      <c r="D77" s="154"/>
      <c r="E77" s="155"/>
      <c r="F77" s="44"/>
      <c r="G77" s="77"/>
      <c r="H77" s="117">
        <f>4*25000+20000</f>
        <v>120000</v>
      </c>
      <c r="I77" s="118"/>
      <c r="J77" s="118"/>
      <c r="K77" s="117">
        <v>5000</v>
      </c>
      <c r="L77" s="118"/>
      <c r="M77" s="118"/>
      <c r="N77" s="117">
        <v>0</v>
      </c>
      <c r="O77" s="54">
        <f t="shared" si="17"/>
        <v>125000</v>
      </c>
      <c r="R77">
        <f>5*25</f>
        <v>125</v>
      </c>
    </row>
    <row r="78" spans="1:18" x14ac:dyDescent="0.25">
      <c r="A78" s="152" t="s">
        <v>50</v>
      </c>
      <c r="B78" s="152"/>
      <c r="C78" s="152"/>
      <c r="D78" s="152"/>
      <c r="E78" s="152"/>
      <c r="F78" s="78"/>
      <c r="G78" s="79"/>
      <c r="H78" s="119">
        <f>SUM(H74:H77)</f>
        <v>335518</v>
      </c>
      <c r="I78" s="120"/>
      <c r="J78" s="120"/>
      <c r="K78" s="119">
        <f>SUM(K74:K77)</f>
        <v>227268</v>
      </c>
      <c r="L78" s="120"/>
      <c r="M78" s="120"/>
      <c r="N78" s="119">
        <f>SUM(N74:N77)</f>
        <v>226807</v>
      </c>
      <c r="O78" s="54">
        <f t="shared" si="17"/>
        <v>789593</v>
      </c>
    </row>
    <row r="79" spans="1:18" x14ac:dyDescent="0.25">
      <c r="A79" s="156" t="s">
        <v>53</v>
      </c>
      <c r="B79" s="157"/>
      <c r="C79" s="157"/>
      <c r="D79" s="157"/>
      <c r="E79" s="158"/>
      <c r="F79" s="113"/>
      <c r="G79" s="114"/>
      <c r="H79" s="121">
        <f>ROUND(H78*0.535,0)</f>
        <v>179502</v>
      </c>
      <c r="I79" s="122"/>
      <c r="J79" s="122"/>
      <c r="K79" s="121">
        <f>ROUND(K78*0.535,0)</f>
        <v>121588</v>
      </c>
      <c r="L79" s="123"/>
      <c r="M79" s="122"/>
      <c r="N79" s="121">
        <f>ROUND(N78*0.535,0)</f>
        <v>121342</v>
      </c>
      <c r="O79" s="124">
        <f t="shared" si="17"/>
        <v>422432</v>
      </c>
      <c r="R79" t="s">
        <v>110</v>
      </c>
    </row>
    <row r="80" spans="1:18" x14ac:dyDescent="0.25">
      <c r="A80" s="149" t="s">
        <v>31</v>
      </c>
      <c r="B80" s="149"/>
      <c r="C80" s="149"/>
      <c r="D80" s="149"/>
      <c r="E80" s="149"/>
      <c r="F80" s="29"/>
      <c r="G80" s="74" t="s">
        <v>35</v>
      </c>
      <c r="H80" s="81">
        <f>H74+H79</f>
        <v>3561647</v>
      </c>
      <c r="I80" s="82"/>
      <c r="J80" s="83" t="s">
        <v>35</v>
      </c>
      <c r="K80" s="81">
        <f>K74+K79</f>
        <v>2345931.7599999998</v>
      </c>
      <c r="L80" s="84"/>
      <c r="M80" s="83"/>
      <c r="N80" s="81">
        <f>N74+N79</f>
        <v>2003459.3008000001</v>
      </c>
      <c r="O80" s="85">
        <f t="shared" si="17"/>
        <v>7911038.0608000001</v>
      </c>
      <c r="R80" s="126">
        <f>SUM(O80-O72)</f>
        <v>1266583.0608000001</v>
      </c>
    </row>
    <row r="83" spans="14:14" x14ac:dyDescent="0.25">
      <c r="N83" t="s">
        <v>35</v>
      </c>
    </row>
  </sheetData>
  <mergeCells count="116">
    <mergeCell ref="F38:H38"/>
    <mergeCell ref="A9:E9"/>
    <mergeCell ref="A10:E10"/>
    <mergeCell ref="A11:E11"/>
    <mergeCell ref="O8:O9"/>
    <mergeCell ref="A1:C1"/>
    <mergeCell ref="D1:O1"/>
    <mergeCell ref="A2:C2"/>
    <mergeCell ref="D2:O2"/>
    <mergeCell ref="L7:N7"/>
    <mergeCell ref="A8:E8"/>
    <mergeCell ref="I32:K32"/>
    <mergeCell ref="L32:N32"/>
    <mergeCell ref="A33:E33"/>
    <mergeCell ref="A31:E31"/>
    <mergeCell ref="A32:E32"/>
    <mergeCell ref="F32:H32"/>
    <mergeCell ref="A29:E29"/>
    <mergeCell ref="A30:E30"/>
    <mergeCell ref="A25:E25"/>
    <mergeCell ref="A26:E26"/>
    <mergeCell ref="A27:E27"/>
    <mergeCell ref="A13:E13"/>
    <mergeCell ref="A28:E28"/>
    <mergeCell ref="Q1:V3"/>
    <mergeCell ref="Q4:R5"/>
    <mergeCell ref="S4:S5"/>
    <mergeCell ref="T4:U5"/>
    <mergeCell ref="V4:V5"/>
    <mergeCell ref="A15:E15"/>
    <mergeCell ref="A16:E16"/>
    <mergeCell ref="A19:E19"/>
    <mergeCell ref="A21:E21"/>
    <mergeCell ref="A12:E12"/>
    <mergeCell ref="A14:E14"/>
    <mergeCell ref="A18:E18"/>
    <mergeCell ref="A17:E17"/>
    <mergeCell ref="A3:C3"/>
    <mergeCell ref="D3:O3"/>
    <mergeCell ref="A4:C4"/>
    <mergeCell ref="D4:O4"/>
    <mergeCell ref="A5:C5"/>
    <mergeCell ref="D5:O5"/>
    <mergeCell ref="A6:C6"/>
    <mergeCell ref="D6:O6"/>
    <mergeCell ref="A7:E7"/>
    <mergeCell ref="F7:H7"/>
    <mergeCell ref="I7:K7"/>
    <mergeCell ref="I65:K65"/>
    <mergeCell ref="L65:N65"/>
    <mergeCell ref="F57:H57"/>
    <mergeCell ref="I57:K57"/>
    <mergeCell ref="L57:N57"/>
    <mergeCell ref="A58:E58"/>
    <mergeCell ref="A61:E61"/>
    <mergeCell ref="A64:E64"/>
    <mergeCell ref="A60:E60"/>
    <mergeCell ref="A63:E63"/>
    <mergeCell ref="A62:E62"/>
    <mergeCell ref="A20:E20"/>
    <mergeCell ref="A22:E22"/>
    <mergeCell ref="A23:E23"/>
    <mergeCell ref="A24:E24"/>
    <mergeCell ref="L49:N49"/>
    <mergeCell ref="A50:E50"/>
    <mergeCell ref="A51:E51"/>
    <mergeCell ref="A52:E52"/>
    <mergeCell ref="A49:E49"/>
    <mergeCell ref="F49:H49"/>
    <mergeCell ref="A48:E48"/>
    <mergeCell ref="A34:E34"/>
    <mergeCell ref="A35:E35"/>
    <mergeCell ref="A36:E36"/>
    <mergeCell ref="A37:E37"/>
    <mergeCell ref="A38:E38"/>
    <mergeCell ref="A42:E42"/>
    <mergeCell ref="A47:E47"/>
    <mergeCell ref="A43:E43"/>
    <mergeCell ref="A45:E45"/>
    <mergeCell ref="L38:N38"/>
    <mergeCell ref="A39:E39"/>
    <mergeCell ref="A40:E40"/>
    <mergeCell ref="A41:E41"/>
    <mergeCell ref="A80:E80"/>
    <mergeCell ref="A74:E74"/>
    <mergeCell ref="A75:E75"/>
    <mergeCell ref="A78:E78"/>
    <mergeCell ref="A76:E76"/>
    <mergeCell ref="A77:E77"/>
    <mergeCell ref="A79:E79"/>
    <mergeCell ref="A73:E73"/>
    <mergeCell ref="F73:H73"/>
    <mergeCell ref="A69:E69"/>
    <mergeCell ref="A68:E68"/>
    <mergeCell ref="A70:E70"/>
    <mergeCell ref="A59:E59"/>
    <mergeCell ref="A46:E46"/>
    <mergeCell ref="A44:E44"/>
    <mergeCell ref="I49:K49"/>
    <mergeCell ref="I38:K38"/>
    <mergeCell ref="L73:N73"/>
    <mergeCell ref="I73:K73"/>
    <mergeCell ref="A66:E66"/>
    <mergeCell ref="A71:E71"/>
    <mergeCell ref="A72:E72"/>
    <mergeCell ref="A53:E53"/>
    <mergeCell ref="A54:E54"/>
    <mergeCell ref="A55:E55"/>
    <mergeCell ref="A56:E56"/>
    <mergeCell ref="A57:E57"/>
    <mergeCell ref="A67:E67"/>
    <mergeCell ref="M56:N56"/>
    <mergeCell ref="J56:K56"/>
    <mergeCell ref="G56:H56"/>
    <mergeCell ref="A65:E65"/>
    <mergeCell ref="F65:H65"/>
  </mergeCells>
  <printOptions horizontalCentered="1"/>
  <pageMargins left="0.25" right="0.25" top="0.5" bottom="0.5" header="0.25" footer="0.51180555555555496"/>
  <pageSetup scale="55" firstPageNumber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52"/>
  <sheetViews>
    <sheetView topLeftCell="A13" workbookViewId="0">
      <selection activeCell="T44" sqref="T44"/>
    </sheetView>
  </sheetViews>
  <sheetFormatPr defaultRowHeight="15" x14ac:dyDescent="0.25"/>
  <sheetData>
    <row r="5" spans="1:20" x14ac:dyDescent="0.25">
      <c r="A5" s="145" t="s">
        <v>74</v>
      </c>
      <c r="B5" s="145"/>
      <c r="C5" s="145"/>
      <c r="D5" s="145"/>
      <c r="E5" s="146"/>
      <c r="F5" s="136" t="s">
        <v>17</v>
      </c>
      <c r="G5" s="136"/>
      <c r="H5" s="136"/>
      <c r="I5" s="135" t="s">
        <v>18</v>
      </c>
      <c r="J5" s="136"/>
      <c r="K5" s="137"/>
      <c r="L5" s="136" t="s">
        <v>37</v>
      </c>
      <c r="M5" s="136"/>
      <c r="N5" s="136"/>
      <c r="O5" s="8"/>
    </row>
    <row r="6" spans="1:20" x14ac:dyDescent="0.25">
      <c r="A6" s="203" t="s">
        <v>86</v>
      </c>
      <c r="B6" s="203"/>
      <c r="C6" s="203"/>
      <c r="D6" s="203"/>
      <c r="E6" s="203"/>
      <c r="F6" s="62"/>
      <c r="G6" s="63" t="s">
        <v>22</v>
      </c>
      <c r="H6" s="64" t="s">
        <v>23</v>
      </c>
      <c r="I6" s="65"/>
      <c r="J6" s="63" t="s">
        <v>22</v>
      </c>
      <c r="K6" s="63" t="s">
        <v>23</v>
      </c>
      <c r="L6" s="66"/>
      <c r="M6" s="63" t="s">
        <v>22</v>
      </c>
      <c r="N6" s="64" t="s">
        <v>23</v>
      </c>
      <c r="O6" s="8"/>
    </row>
    <row r="7" spans="1:20" x14ac:dyDescent="0.25">
      <c r="A7" s="167" t="s">
        <v>81</v>
      </c>
      <c r="B7" s="167"/>
      <c r="C7" s="167"/>
      <c r="D7" s="167"/>
      <c r="E7" s="167"/>
      <c r="F7" s="27"/>
      <c r="G7" s="67">
        <f>SUM(3*500)</f>
        <v>1500</v>
      </c>
      <c r="H7" s="68">
        <v>0</v>
      </c>
      <c r="I7" s="107"/>
      <c r="J7" s="67">
        <f>ROUND(G7+(G7*S$4),0)</f>
        <v>1500</v>
      </c>
      <c r="K7" s="67">
        <f>ROUND(H7+(H7*S$4),0)</f>
        <v>0</v>
      </c>
      <c r="L7" s="60"/>
      <c r="M7" s="67">
        <f>ROUND(J7+(J7*S$4),0)</f>
        <v>1500</v>
      </c>
      <c r="N7" s="68">
        <f>ROUND(K7+(K7*S$4),0)</f>
        <v>0</v>
      </c>
      <c r="O7" s="54">
        <f>G7+H7+J7+K7+M7+N7</f>
        <v>4500</v>
      </c>
    </row>
    <row r="8" spans="1:20" x14ac:dyDescent="0.25">
      <c r="A8" s="143" t="s">
        <v>88</v>
      </c>
      <c r="B8" s="143"/>
      <c r="C8" s="143"/>
      <c r="D8" s="143"/>
      <c r="E8" s="143"/>
      <c r="F8" s="27"/>
      <c r="G8" s="67">
        <f>SUM(3*2*106)</f>
        <v>636</v>
      </c>
      <c r="H8" s="68">
        <v>0</v>
      </c>
      <c r="I8" s="107"/>
      <c r="J8" s="67">
        <f>ROUND(G8+(G8*S$4),0)</f>
        <v>636</v>
      </c>
      <c r="K8" s="67">
        <f>ROUND(H8+(H8*S$4),0)</f>
        <v>0</v>
      </c>
      <c r="L8" s="60"/>
      <c r="M8" s="67">
        <f>ROUND(J8+(J8*S$4),0)</f>
        <v>636</v>
      </c>
      <c r="N8" s="68">
        <f>ROUND(K8+(K8*S$4),0)</f>
        <v>0</v>
      </c>
      <c r="O8" s="54">
        <f>G8+H8+J8+K8+M8+N8</f>
        <v>1908</v>
      </c>
    </row>
    <row r="9" spans="1:20" x14ac:dyDescent="0.25">
      <c r="A9" s="143" t="s">
        <v>24</v>
      </c>
      <c r="B9" s="143"/>
      <c r="C9" s="143"/>
      <c r="D9" s="143"/>
      <c r="E9" s="143"/>
      <c r="F9" s="27"/>
      <c r="G9" s="67">
        <v>0</v>
      </c>
      <c r="H9" s="68">
        <v>0</v>
      </c>
      <c r="I9" s="107"/>
      <c r="J9" s="67">
        <f>ROUND(G9+(G9*S$4),0)</f>
        <v>0</v>
      </c>
      <c r="K9" s="67">
        <f>ROUND(H9+(H9*S$4),0)</f>
        <v>0</v>
      </c>
      <c r="L9" s="60"/>
      <c r="M9" s="67">
        <f>ROUND(J9+(J9*S$4),0)</f>
        <v>0</v>
      </c>
      <c r="N9" s="68">
        <f>ROUND(K9+(K9*S$4),0)</f>
        <v>0</v>
      </c>
      <c r="O9" s="54">
        <f>G9+H9+J9+K9+M9+N9</f>
        <v>0</v>
      </c>
    </row>
    <row r="10" spans="1:20" x14ac:dyDescent="0.25">
      <c r="A10" s="143" t="s">
        <v>71</v>
      </c>
      <c r="B10" s="143"/>
      <c r="C10" s="143"/>
      <c r="D10" s="143"/>
      <c r="E10" s="143"/>
      <c r="F10" s="27"/>
      <c r="G10" s="69">
        <f>SUM(3*50)</f>
        <v>150</v>
      </c>
      <c r="H10" s="70">
        <v>0</v>
      </c>
      <c r="I10" s="107"/>
      <c r="J10" s="69">
        <f>ROUND(G10+(G10*S$4),0)</f>
        <v>150</v>
      </c>
      <c r="K10" s="70">
        <f>ROUND(H10+(H10*S$4),0)</f>
        <v>0</v>
      </c>
      <c r="L10" s="61"/>
      <c r="M10" s="69">
        <f>ROUND(J10+(J10*S$4),0)</f>
        <v>150</v>
      </c>
      <c r="N10" s="70">
        <f>ROUND(K10+(K10*S$4),0)</f>
        <v>0</v>
      </c>
      <c r="O10" s="55">
        <f>G10+H10+J10+K10+M10+N10</f>
        <v>450</v>
      </c>
    </row>
    <row r="11" spans="1:20" x14ac:dyDescent="0.25">
      <c r="A11" s="144" t="s">
        <v>26</v>
      </c>
      <c r="B11" s="144"/>
      <c r="C11" s="144"/>
      <c r="D11" s="144"/>
      <c r="E11" s="144"/>
      <c r="F11" s="27"/>
      <c r="G11" s="67">
        <f>SUM(G7:G10)</f>
        <v>2286</v>
      </c>
      <c r="H11" s="68">
        <f>SUM(H7:H10)</f>
        <v>0</v>
      </c>
      <c r="I11" s="107"/>
      <c r="J11" s="67">
        <f>SUM(J7:J10)</f>
        <v>2286</v>
      </c>
      <c r="K11" s="67">
        <f>SUM(K7:K10)</f>
        <v>0</v>
      </c>
      <c r="L11" s="60"/>
      <c r="M11" s="67">
        <f>SUM(M7:M10)</f>
        <v>2286</v>
      </c>
      <c r="N11" s="70">
        <f>SUM(N7:N10)</f>
        <v>0</v>
      </c>
      <c r="O11" s="54"/>
    </row>
    <row r="12" spans="1:20" x14ac:dyDescent="0.25">
      <c r="A12" s="142" t="s">
        <v>27</v>
      </c>
      <c r="B12" s="142"/>
      <c r="C12" s="142"/>
      <c r="D12" s="142"/>
      <c r="E12" s="142"/>
      <c r="F12" s="28"/>
      <c r="G12" s="147">
        <f>G11+H11</f>
        <v>2286</v>
      </c>
      <c r="H12" s="148"/>
      <c r="I12" s="125"/>
      <c r="J12" s="147">
        <f>J11+K11</f>
        <v>2286</v>
      </c>
      <c r="K12" s="148"/>
      <c r="L12" s="104"/>
      <c r="M12" s="147">
        <f>M11+N11</f>
        <v>2286</v>
      </c>
      <c r="N12" s="148"/>
      <c r="O12" s="33">
        <f>G12+J12+M12</f>
        <v>6858</v>
      </c>
      <c r="T12" t="s">
        <v>35</v>
      </c>
    </row>
    <row r="15" spans="1:20" x14ac:dyDescent="0.25">
      <c r="A15" s="145" t="s">
        <v>73</v>
      </c>
      <c r="B15" s="145"/>
      <c r="C15" s="145"/>
      <c r="D15" s="145"/>
      <c r="E15" s="146"/>
      <c r="F15" s="136" t="s">
        <v>76</v>
      </c>
      <c r="G15" s="136"/>
      <c r="H15" s="136"/>
      <c r="I15" s="135" t="s">
        <v>77</v>
      </c>
      <c r="J15" s="136"/>
      <c r="K15" s="137"/>
      <c r="L15" s="136" t="s">
        <v>78</v>
      </c>
      <c r="M15" s="136"/>
      <c r="N15" s="136"/>
      <c r="O15" s="8"/>
    </row>
    <row r="16" spans="1:20" x14ac:dyDescent="0.25">
      <c r="A16" s="203" t="s">
        <v>87</v>
      </c>
      <c r="B16" s="203"/>
      <c r="C16" s="203"/>
      <c r="D16" s="203"/>
      <c r="E16" s="203"/>
      <c r="F16" s="62"/>
      <c r="G16" s="63" t="s">
        <v>22</v>
      </c>
      <c r="H16" s="64" t="s">
        <v>23</v>
      </c>
      <c r="I16" s="65"/>
      <c r="J16" s="63" t="s">
        <v>22</v>
      </c>
      <c r="K16" s="63" t="s">
        <v>23</v>
      </c>
      <c r="L16" s="66"/>
      <c r="M16" s="63" t="s">
        <v>22</v>
      </c>
      <c r="N16" s="64" t="s">
        <v>23</v>
      </c>
      <c r="O16" s="8"/>
    </row>
    <row r="17" spans="1:15" x14ac:dyDescent="0.25">
      <c r="A17" s="167" t="s">
        <v>80</v>
      </c>
      <c r="B17" s="167"/>
      <c r="C17" s="167"/>
      <c r="D17" s="167"/>
      <c r="E17" s="167"/>
      <c r="F17" s="27"/>
      <c r="G17" s="67">
        <f>SUM(3*250)</f>
        <v>750</v>
      </c>
      <c r="H17" s="68">
        <v>0</v>
      </c>
      <c r="I17" s="107"/>
      <c r="J17" s="67">
        <f>ROUND(G17+(G17*S$4),0)</f>
        <v>750</v>
      </c>
      <c r="K17" s="67">
        <f>ROUND(H17+(H17*S$4),0)</f>
        <v>0</v>
      </c>
      <c r="L17" s="60"/>
      <c r="M17" s="67">
        <f>ROUND(J17+(J17*S$4),0)</f>
        <v>750</v>
      </c>
      <c r="N17" s="68">
        <f>ROUND(K17+(K17*S$4),0)</f>
        <v>0</v>
      </c>
      <c r="O17" s="54">
        <f>G17+H17+J17+K17+M17+N17</f>
        <v>2250</v>
      </c>
    </row>
    <row r="18" spans="1:15" x14ac:dyDescent="0.25">
      <c r="A18" s="143" t="s">
        <v>79</v>
      </c>
      <c r="B18" s="143"/>
      <c r="C18" s="143"/>
      <c r="D18" s="143"/>
      <c r="E18" s="143"/>
      <c r="F18" s="27"/>
      <c r="G18" s="67">
        <f>SUM(3*2*150)</f>
        <v>900</v>
      </c>
      <c r="H18" s="68">
        <v>0</v>
      </c>
      <c r="I18" s="107"/>
      <c r="J18" s="67">
        <f>ROUND(G18+(G18*S$4),0)</f>
        <v>900</v>
      </c>
      <c r="K18" s="67">
        <f>ROUND(H18+(H18*S$4),0)</f>
        <v>0</v>
      </c>
      <c r="L18" s="60"/>
      <c r="M18" s="67">
        <f>ROUND(J18+(J18*S$4),0)</f>
        <v>900</v>
      </c>
      <c r="N18" s="68">
        <f>ROUND(K18+(K18*S$4),0)</f>
        <v>0</v>
      </c>
      <c r="O18" s="54">
        <f>G18+H18+J18+K18+M18+N18</f>
        <v>2700</v>
      </c>
    </row>
    <row r="19" spans="1:15" x14ac:dyDescent="0.25">
      <c r="A19" s="143" t="s">
        <v>92</v>
      </c>
      <c r="B19" s="143"/>
      <c r="C19" s="143"/>
      <c r="D19" s="143"/>
      <c r="E19" s="143"/>
      <c r="F19" s="27"/>
      <c r="G19" s="67">
        <f>2*3*54</f>
        <v>324</v>
      </c>
      <c r="H19" s="68">
        <v>0</v>
      </c>
      <c r="I19" s="107"/>
      <c r="J19" s="67">
        <f>ROUND(G19+(G19*S$4),0)</f>
        <v>324</v>
      </c>
      <c r="K19" s="67">
        <f>ROUND(H19+(H19*S$4),0)</f>
        <v>0</v>
      </c>
      <c r="L19" s="60"/>
      <c r="M19" s="67">
        <f>ROUND(J19+(J19*S$4),0)</f>
        <v>324</v>
      </c>
      <c r="N19" s="68">
        <f>ROUND(K19+(K19*S$4),0)</f>
        <v>0</v>
      </c>
      <c r="O19" s="54">
        <f>G19+H19+J19+K19+M19+N19</f>
        <v>972</v>
      </c>
    </row>
    <row r="20" spans="1:15" x14ac:dyDescent="0.25">
      <c r="A20" s="143" t="s">
        <v>71</v>
      </c>
      <c r="B20" s="143"/>
      <c r="C20" s="143"/>
      <c r="D20" s="143"/>
      <c r="E20" s="143"/>
      <c r="F20" s="27"/>
      <c r="G20" s="69">
        <f>SUM(3*50)</f>
        <v>150</v>
      </c>
      <c r="H20" s="70">
        <v>0</v>
      </c>
      <c r="I20" s="107"/>
      <c r="J20" s="69">
        <f>ROUND(G20+(G20*S$4),0)</f>
        <v>150</v>
      </c>
      <c r="K20" s="70">
        <f>ROUND(H20+(H20*S$4),0)</f>
        <v>0</v>
      </c>
      <c r="L20" s="61"/>
      <c r="M20" s="69">
        <f>ROUND(J20+(J20*S$4),0)</f>
        <v>150</v>
      </c>
      <c r="N20" s="70">
        <f>ROUND(K20+(K20*S$4),0)</f>
        <v>0</v>
      </c>
      <c r="O20" s="55">
        <f>G20+H20+J20+K20+M20+N20</f>
        <v>450</v>
      </c>
    </row>
    <row r="21" spans="1:15" x14ac:dyDescent="0.25">
      <c r="A21" s="144" t="s">
        <v>26</v>
      </c>
      <c r="B21" s="144"/>
      <c r="C21" s="144"/>
      <c r="D21" s="144"/>
      <c r="E21" s="144"/>
      <c r="F21" s="27"/>
      <c r="G21" s="67">
        <f>SUM(G17:G20)</f>
        <v>2124</v>
      </c>
      <c r="H21" s="68">
        <f>SUM(H17:H20)</f>
        <v>0</v>
      </c>
      <c r="I21" s="107"/>
      <c r="J21" s="67">
        <f>SUM(J17:J20)</f>
        <v>2124</v>
      </c>
      <c r="K21" s="67">
        <f>SUM(K17:K20)</f>
        <v>0</v>
      </c>
      <c r="L21" s="60"/>
      <c r="M21" s="67">
        <f>SUM(M17:M20)</f>
        <v>2124</v>
      </c>
      <c r="N21" s="70">
        <f>SUM(N17:N20)</f>
        <v>0</v>
      </c>
      <c r="O21" s="54"/>
    </row>
    <row r="22" spans="1:15" x14ac:dyDescent="0.25">
      <c r="A22" s="142" t="s">
        <v>27</v>
      </c>
      <c r="B22" s="142"/>
      <c r="C22" s="142"/>
      <c r="D22" s="142"/>
      <c r="E22" s="142"/>
      <c r="F22" s="28"/>
      <c r="G22" s="147">
        <f>G21+H21</f>
        <v>2124</v>
      </c>
      <c r="H22" s="148"/>
      <c r="I22" s="125"/>
      <c r="J22" s="147">
        <f>J21+K21</f>
        <v>2124</v>
      </c>
      <c r="K22" s="148"/>
      <c r="L22" s="104"/>
      <c r="M22" s="147">
        <f>M21+N21</f>
        <v>2124</v>
      </c>
      <c r="N22" s="148"/>
      <c r="O22" s="33">
        <f>G22+J22+M22</f>
        <v>6372</v>
      </c>
    </row>
    <row r="25" spans="1:15" x14ac:dyDescent="0.25">
      <c r="A25" s="145" t="s">
        <v>72</v>
      </c>
      <c r="B25" s="145"/>
      <c r="C25" s="145"/>
      <c r="D25" s="145"/>
      <c r="E25" s="146"/>
      <c r="F25" s="136" t="s">
        <v>76</v>
      </c>
      <c r="G25" s="136"/>
      <c r="H25" s="136"/>
      <c r="I25" s="135" t="s">
        <v>77</v>
      </c>
      <c r="J25" s="136"/>
      <c r="K25" s="137"/>
      <c r="L25" s="136" t="s">
        <v>78</v>
      </c>
      <c r="M25" s="136"/>
      <c r="N25" s="136"/>
      <c r="O25" s="8"/>
    </row>
    <row r="26" spans="1:15" x14ac:dyDescent="0.25">
      <c r="A26" s="203" t="s">
        <v>89</v>
      </c>
      <c r="B26" s="203"/>
      <c r="C26" s="203"/>
      <c r="D26" s="203"/>
      <c r="E26" s="203"/>
      <c r="F26" s="62"/>
      <c r="G26" s="63" t="s">
        <v>22</v>
      </c>
      <c r="H26" s="64" t="s">
        <v>23</v>
      </c>
      <c r="I26" s="65"/>
      <c r="J26" s="63" t="s">
        <v>22</v>
      </c>
      <c r="K26" s="63" t="s">
        <v>23</v>
      </c>
      <c r="L26" s="66"/>
      <c r="M26" s="63" t="s">
        <v>22</v>
      </c>
      <c r="N26" s="64" t="s">
        <v>23</v>
      </c>
      <c r="O26" s="8"/>
    </row>
    <row r="27" spans="1:15" x14ac:dyDescent="0.25">
      <c r="A27" s="167" t="s">
        <v>82</v>
      </c>
      <c r="B27" s="167"/>
      <c r="C27" s="167"/>
      <c r="D27" s="167"/>
      <c r="E27" s="167"/>
      <c r="F27" s="27"/>
      <c r="G27" s="67">
        <f>SUM(3*450)</f>
        <v>1350</v>
      </c>
      <c r="H27" s="68">
        <v>0</v>
      </c>
      <c r="I27" s="107"/>
      <c r="J27" s="67">
        <f>ROUND(G27+(G27*S$4),0)</f>
        <v>1350</v>
      </c>
      <c r="K27" s="67">
        <f>ROUND(H27+(H27*S$4),0)</f>
        <v>0</v>
      </c>
      <c r="L27" s="60"/>
      <c r="M27" s="67">
        <f>ROUND(J27+(J27*S$4),0)</f>
        <v>1350</v>
      </c>
      <c r="N27" s="68">
        <f>ROUND(K27+(K27*S$4),0)</f>
        <v>0</v>
      </c>
      <c r="O27" s="54">
        <f>G27+H27+J27+K27+M27+N27</f>
        <v>4050</v>
      </c>
    </row>
    <row r="28" spans="1:15" x14ac:dyDescent="0.25">
      <c r="A28" s="143" t="s">
        <v>90</v>
      </c>
      <c r="B28" s="143"/>
      <c r="C28" s="143"/>
      <c r="D28" s="143"/>
      <c r="E28" s="143"/>
      <c r="F28" s="27"/>
      <c r="G28" s="67">
        <f>SUM(3*2*120)</f>
        <v>720</v>
      </c>
      <c r="H28" s="68">
        <v>0</v>
      </c>
      <c r="I28" s="107"/>
      <c r="J28" s="67">
        <f>ROUND(G28+(G28*S$4),0)</f>
        <v>720</v>
      </c>
      <c r="K28" s="67">
        <f>ROUND(H28+(H28*S$4),0)</f>
        <v>0</v>
      </c>
      <c r="L28" s="60"/>
      <c r="M28" s="67">
        <f>ROUND(J28+(J28*S$4),0)</f>
        <v>720</v>
      </c>
      <c r="N28" s="68">
        <f>ROUND(K28+(K28*S$4),0)</f>
        <v>0</v>
      </c>
      <c r="O28" s="54">
        <f>G28+H28+J28+K28+M28+N28</f>
        <v>2160</v>
      </c>
    </row>
    <row r="29" spans="1:15" x14ac:dyDescent="0.25">
      <c r="A29" s="143" t="s">
        <v>92</v>
      </c>
      <c r="B29" s="143"/>
      <c r="C29" s="143"/>
      <c r="D29" s="143"/>
      <c r="E29" s="143"/>
      <c r="F29" s="27"/>
      <c r="G29" s="67">
        <f>3*2*54</f>
        <v>324</v>
      </c>
      <c r="H29" s="68">
        <v>0</v>
      </c>
      <c r="I29" s="107"/>
      <c r="J29" s="67">
        <f>ROUND(G29+(G29*S$4),0)</f>
        <v>324</v>
      </c>
      <c r="K29" s="67">
        <f>ROUND(H29+(H29*S$4),0)</f>
        <v>0</v>
      </c>
      <c r="L29" s="60"/>
      <c r="M29" s="67">
        <f>ROUND(J29+(J29*S$4),0)</f>
        <v>324</v>
      </c>
      <c r="N29" s="68">
        <f>ROUND(K29+(K29*S$4),0)</f>
        <v>0</v>
      </c>
      <c r="O29" s="54">
        <f>G29+H29+J29+K29+M29+N29</f>
        <v>972</v>
      </c>
    </row>
    <row r="30" spans="1:15" x14ac:dyDescent="0.25">
      <c r="A30" s="143" t="s">
        <v>71</v>
      </c>
      <c r="B30" s="143"/>
      <c r="C30" s="143"/>
      <c r="D30" s="143"/>
      <c r="E30" s="143"/>
      <c r="F30" s="27"/>
      <c r="G30" s="69">
        <f>SUM(3*50)</f>
        <v>150</v>
      </c>
      <c r="H30" s="70">
        <v>0</v>
      </c>
      <c r="I30" s="107"/>
      <c r="J30" s="69">
        <f>ROUND(G30+(G30*S$4),0)</f>
        <v>150</v>
      </c>
      <c r="K30" s="70">
        <f>ROUND(H30+(H30*S$4),0)</f>
        <v>0</v>
      </c>
      <c r="L30" s="61"/>
      <c r="M30" s="69">
        <f>ROUND(J30+(J30*S$4),0)</f>
        <v>150</v>
      </c>
      <c r="N30" s="70">
        <f>ROUND(K30+(K30*S$4),0)</f>
        <v>0</v>
      </c>
      <c r="O30" s="55">
        <f>G30+H30+J30+K30+M30+N30</f>
        <v>450</v>
      </c>
    </row>
    <row r="31" spans="1:15" x14ac:dyDescent="0.25">
      <c r="A31" s="144" t="s">
        <v>26</v>
      </c>
      <c r="B31" s="144"/>
      <c r="C31" s="144"/>
      <c r="D31" s="144"/>
      <c r="E31" s="144"/>
      <c r="F31" s="27"/>
      <c r="G31" s="67">
        <f>SUM(G27:G30)</f>
        <v>2544</v>
      </c>
      <c r="H31" s="68">
        <f>SUM(H27:H30)</f>
        <v>0</v>
      </c>
      <c r="I31" s="107"/>
      <c r="J31" s="67">
        <f>SUM(J27:J30)</f>
        <v>2544</v>
      </c>
      <c r="K31" s="67">
        <f>SUM(K27:K30)</f>
        <v>0</v>
      </c>
      <c r="L31" s="60"/>
      <c r="M31" s="67">
        <f>SUM(M27:M30)</f>
        <v>2544</v>
      </c>
      <c r="N31" s="70">
        <f>SUM(N27:N30)</f>
        <v>0</v>
      </c>
      <c r="O31" s="54"/>
    </row>
    <row r="32" spans="1:15" x14ac:dyDescent="0.25">
      <c r="A32" s="142" t="s">
        <v>27</v>
      </c>
      <c r="B32" s="142"/>
      <c r="C32" s="142"/>
      <c r="D32" s="142"/>
      <c r="E32" s="142"/>
      <c r="F32" s="28"/>
      <c r="G32" s="147">
        <f>G31+H31</f>
        <v>2544</v>
      </c>
      <c r="H32" s="148"/>
      <c r="I32" s="125"/>
      <c r="J32" s="147">
        <f>J31+K31</f>
        <v>2544</v>
      </c>
      <c r="K32" s="148"/>
      <c r="L32" s="104"/>
      <c r="M32" s="147">
        <f>M31+N31</f>
        <v>2544</v>
      </c>
      <c r="N32" s="148"/>
      <c r="O32" s="33">
        <f>G32+J32+M32</f>
        <v>7632</v>
      </c>
    </row>
    <row r="35" spans="1:19" x14ac:dyDescent="0.25">
      <c r="A35" s="145" t="s">
        <v>75</v>
      </c>
      <c r="B35" s="145"/>
      <c r="C35" s="145"/>
      <c r="D35" s="145"/>
      <c r="E35" s="146"/>
      <c r="F35" s="136" t="s">
        <v>76</v>
      </c>
      <c r="G35" s="136"/>
      <c r="H35" s="136"/>
      <c r="I35" s="135" t="s">
        <v>77</v>
      </c>
      <c r="J35" s="136"/>
      <c r="K35" s="137"/>
      <c r="L35" s="136" t="s">
        <v>78</v>
      </c>
      <c r="M35" s="136"/>
      <c r="N35" s="136"/>
      <c r="O35" s="8"/>
    </row>
    <row r="36" spans="1:19" x14ac:dyDescent="0.25">
      <c r="A36" s="202" t="s">
        <v>91</v>
      </c>
      <c r="B36" s="166"/>
      <c r="C36" s="166"/>
      <c r="D36" s="166"/>
      <c r="E36" s="166"/>
      <c r="F36" s="62"/>
      <c r="G36" s="63" t="s">
        <v>22</v>
      </c>
      <c r="H36" s="64" t="s">
        <v>23</v>
      </c>
      <c r="I36" s="65"/>
      <c r="J36" s="63" t="s">
        <v>22</v>
      </c>
      <c r="K36" s="63" t="s">
        <v>23</v>
      </c>
      <c r="L36" s="66"/>
      <c r="M36" s="63" t="s">
        <v>22</v>
      </c>
      <c r="N36" s="64" t="s">
        <v>23</v>
      </c>
      <c r="O36" s="8"/>
    </row>
    <row r="37" spans="1:19" x14ac:dyDescent="0.25">
      <c r="A37" s="167" t="s">
        <v>96</v>
      </c>
      <c r="B37" s="167"/>
      <c r="C37" s="167"/>
      <c r="D37" s="167"/>
      <c r="E37" s="167"/>
      <c r="F37" s="27"/>
      <c r="G37" s="67">
        <f>R43</f>
        <v>0</v>
      </c>
      <c r="H37" s="68">
        <v>0</v>
      </c>
      <c r="I37" s="107"/>
      <c r="J37" s="67">
        <f>SUM(12*350)</f>
        <v>4200</v>
      </c>
      <c r="K37" s="67">
        <f>ROUND(H37+(H37*S$4),0)</f>
        <v>0</v>
      </c>
      <c r="L37" s="60"/>
      <c r="M37" s="67">
        <f>ROUND(J37+(J37*S$4),0)</f>
        <v>4200</v>
      </c>
      <c r="N37" s="68">
        <f>ROUND(K37+(K37*S$4),0)</f>
        <v>0</v>
      </c>
      <c r="O37" s="54">
        <f>G37+H37+J37+K37+M37+N37</f>
        <v>8400</v>
      </c>
    </row>
    <row r="38" spans="1:19" x14ac:dyDescent="0.25">
      <c r="A38" s="143" t="s">
        <v>97</v>
      </c>
      <c r="B38" s="143"/>
      <c r="C38" s="143"/>
      <c r="D38" s="143"/>
      <c r="E38" s="143"/>
      <c r="F38" s="27"/>
      <c r="G38" s="67">
        <v>0</v>
      </c>
      <c r="H38" s="68">
        <v>0</v>
      </c>
      <c r="I38" s="107"/>
      <c r="J38" s="67">
        <f>SUM(10*45*85)</f>
        <v>38250</v>
      </c>
      <c r="K38" s="67">
        <f>ROUND(H38+(H38*S$4),0)</f>
        <v>0</v>
      </c>
      <c r="L38" s="60"/>
      <c r="M38" s="67">
        <f>ROUND(J38+(J38*S$4),0)</f>
        <v>38250</v>
      </c>
      <c r="N38" s="68">
        <f>ROUND(K38+(K38*S$4),0)</f>
        <v>0</v>
      </c>
      <c r="O38" s="54">
        <f>G38+H38+J38+K38+M38+N38</f>
        <v>76500</v>
      </c>
    </row>
    <row r="39" spans="1:19" x14ac:dyDescent="0.25">
      <c r="A39" s="143" t="s">
        <v>93</v>
      </c>
      <c r="B39" s="143"/>
      <c r="C39" s="143"/>
      <c r="D39" s="143"/>
      <c r="E39" s="143"/>
      <c r="F39" s="27"/>
      <c r="G39" s="67">
        <v>0</v>
      </c>
      <c r="H39" s="68">
        <v>0</v>
      </c>
      <c r="I39" s="107"/>
      <c r="J39" s="67">
        <f>SUM(7*45*54)</f>
        <v>17010</v>
      </c>
      <c r="K39" s="67">
        <f>ROUND(H39+(H39*S$4),0)</f>
        <v>0</v>
      </c>
      <c r="L39" s="60"/>
      <c r="M39" s="67">
        <f>ROUND(J39+(J39*S$4),0)</f>
        <v>17010</v>
      </c>
      <c r="N39" s="68">
        <f>ROUND(K39+(K39*S$4),0)</f>
        <v>0</v>
      </c>
      <c r="O39" s="54">
        <f>G39+H39+J39+K39+M39+N39</f>
        <v>34020</v>
      </c>
    </row>
    <row r="40" spans="1:19" x14ac:dyDescent="0.25">
      <c r="A40" s="143" t="s">
        <v>83</v>
      </c>
      <c r="B40" s="143"/>
      <c r="C40" s="143"/>
      <c r="D40" s="143"/>
      <c r="E40" s="143"/>
      <c r="F40" s="27"/>
      <c r="G40" s="69">
        <v>0</v>
      </c>
      <c r="H40" s="70">
        <v>0</v>
      </c>
      <c r="I40" s="107"/>
      <c r="J40" s="69">
        <f>SUM(2*45*50)</f>
        <v>4500</v>
      </c>
      <c r="K40" s="70">
        <f>ROUND(H40+(H40*S$4),0)</f>
        <v>0</v>
      </c>
      <c r="L40" s="61"/>
      <c r="M40" s="69">
        <f>ROUND(J40+(J40*S$4),0)</f>
        <v>4500</v>
      </c>
      <c r="N40" s="70">
        <f>ROUND(K40+(K40*S$4),0)</f>
        <v>0</v>
      </c>
      <c r="O40" s="55">
        <f>G40+H40+J40+K40+M40+N40</f>
        <v>9000</v>
      </c>
    </row>
    <row r="41" spans="1:19" x14ac:dyDescent="0.25">
      <c r="A41" s="144" t="s">
        <v>26</v>
      </c>
      <c r="B41" s="144"/>
      <c r="C41" s="144"/>
      <c r="D41" s="144"/>
      <c r="E41" s="144"/>
      <c r="F41" s="27"/>
      <c r="G41" s="67">
        <f>SUM(G37:G40)</f>
        <v>0</v>
      </c>
      <c r="H41" s="68">
        <f>SUM(H37:H40)</f>
        <v>0</v>
      </c>
      <c r="I41" s="107"/>
      <c r="J41" s="67">
        <f>SUM(J37:J40)</f>
        <v>63960</v>
      </c>
      <c r="K41" s="67">
        <f>SUM(K37:K40)</f>
        <v>0</v>
      </c>
      <c r="L41" s="60"/>
      <c r="M41" s="67">
        <f>SUM(M37:M40)</f>
        <v>63960</v>
      </c>
      <c r="N41" s="70">
        <f>SUM(N37:N40)</f>
        <v>0</v>
      </c>
      <c r="O41" s="54"/>
    </row>
    <row r="42" spans="1:19" x14ac:dyDescent="0.25">
      <c r="A42" s="142" t="s">
        <v>27</v>
      </c>
      <c r="B42" s="142"/>
      <c r="C42" s="142"/>
      <c r="D42" s="142"/>
      <c r="E42" s="142"/>
      <c r="F42" s="28"/>
      <c r="G42" s="147">
        <f>G41+H41</f>
        <v>0</v>
      </c>
      <c r="H42" s="148"/>
      <c r="I42" s="125"/>
      <c r="J42" s="147">
        <f>J41+K41</f>
        <v>63960</v>
      </c>
      <c r="K42" s="148"/>
      <c r="L42" s="104"/>
      <c r="M42" s="147">
        <f>M41+N41</f>
        <v>63960</v>
      </c>
      <c r="N42" s="148"/>
      <c r="O42" s="33">
        <f>G42+J42+M42</f>
        <v>127920</v>
      </c>
    </row>
    <row r="43" spans="1:19" x14ac:dyDescent="0.25">
      <c r="S43" s="126">
        <f>SUM(G10+G20+G30+G30)</f>
        <v>600</v>
      </c>
    </row>
    <row r="45" spans="1:19" x14ac:dyDescent="0.25">
      <c r="A45" s="145" t="s">
        <v>21</v>
      </c>
      <c r="B45" s="145"/>
      <c r="C45" s="145"/>
      <c r="D45" s="145"/>
      <c r="E45" s="146"/>
      <c r="F45" s="136" t="s">
        <v>17</v>
      </c>
      <c r="G45" s="136"/>
      <c r="H45" s="136"/>
      <c r="I45" s="135" t="s">
        <v>18</v>
      </c>
      <c r="J45" s="136"/>
      <c r="K45" s="137"/>
      <c r="L45" s="136" t="s">
        <v>37</v>
      </c>
      <c r="M45" s="136"/>
      <c r="N45" s="136"/>
      <c r="O45" s="8"/>
    </row>
    <row r="46" spans="1:19" x14ac:dyDescent="0.25">
      <c r="A46" s="166" t="s">
        <v>35</v>
      </c>
      <c r="B46" s="166"/>
      <c r="C46" s="166"/>
      <c r="D46" s="166"/>
      <c r="E46" s="166"/>
      <c r="F46" s="62"/>
      <c r="G46" s="63" t="s">
        <v>22</v>
      </c>
      <c r="H46" s="64" t="s">
        <v>23</v>
      </c>
      <c r="I46" s="65"/>
      <c r="J46" s="63" t="s">
        <v>22</v>
      </c>
      <c r="K46" s="63" t="s">
        <v>23</v>
      </c>
      <c r="L46" s="66"/>
      <c r="M46" s="63" t="s">
        <v>22</v>
      </c>
      <c r="N46" s="64" t="s">
        <v>23</v>
      </c>
      <c r="O46" s="8"/>
    </row>
    <row r="47" spans="1:19" x14ac:dyDescent="0.25">
      <c r="A47" s="167" t="s">
        <v>58</v>
      </c>
      <c r="B47" s="167"/>
      <c r="C47" s="167"/>
      <c r="D47" s="167"/>
      <c r="E47" s="167"/>
      <c r="F47" s="27"/>
      <c r="G47" s="67">
        <f>SUM(G7+G17+G27+G37)</f>
        <v>3600</v>
      </c>
      <c r="H47" s="68">
        <v>0</v>
      </c>
      <c r="I47" s="107"/>
      <c r="J47" s="67">
        <f>SUM(J7+J17+J27+J37)</f>
        <v>7800</v>
      </c>
      <c r="K47" s="67">
        <f>ROUND(H47+(H47*S$4),0)</f>
        <v>0</v>
      </c>
      <c r="L47" s="60"/>
      <c r="M47" s="67">
        <f>ROUND(J47+(J47*S$4),0)</f>
        <v>7800</v>
      </c>
      <c r="N47" s="68">
        <f>ROUND(K47+(K47*S$4),0)</f>
        <v>0</v>
      </c>
      <c r="O47" s="54">
        <f>G47+H47+J47+K47+M47+N47</f>
        <v>19200</v>
      </c>
    </row>
    <row r="48" spans="1:19" x14ac:dyDescent="0.25">
      <c r="A48" s="143" t="s">
        <v>42</v>
      </c>
      <c r="B48" s="143"/>
      <c r="C48" s="143"/>
      <c r="D48" s="143"/>
      <c r="E48" s="143"/>
      <c r="F48" s="27"/>
      <c r="G48" s="67">
        <f>SUM(G8+G18+G28+G38)</f>
        <v>2256</v>
      </c>
      <c r="H48" s="68">
        <v>0</v>
      </c>
      <c r="I48" s="107"/>
      <c r="J48" s="67">
        <f>SUM(J8+J18+J28+J38)</f>
        <v>40506</v>
      </c>
      <c r="K48" s="67">
        <f>ROUND(H48+(H48*S$4),0)</f>
        <v>0</v>
      </c>
      <c r="L48" s="60"/>
      <c r="M48" s="67">
        <f>SUM(M8+M18+M28+M38)</f>
        <v>40506</v>
      </c>
      <c r="N48" s="68">
        <f>ROUND(K48+(K48*S$4),0)</f>
        <v>0</v>
      </c>
      <c r="O48" s="54">
        <f>G48+H48+J48+K48+M48+N48</f>
        <v>83268</v>
      </c>
    </row>
    <row r="49" spans="1:15" x14ac:dyDescent="0.25">
      <c r="A49" s="143" t="s">
        <v>24</v>
      </c>
      <c r="B49" s="143"/>
      <c r="C49" s="143"/>
      <c r="D49" s="143"/>
      <c r="E49" s="143"/>
      <c r="F49" s="27"/>
      <c r="G49" s="67">
        <f>SUM(G9+G19+G29+G39)</f>
        <v>648</v>
      </c>
      <c r="H49" s="68">
        <v>0</v>
      </c>
      <c r="I49" s="107"/>
      <c r="J49" s="67">
        <f>SUM(J9+J19+J29+J39)</f>
        <v>17658</v>
      </c>
      <c r="K49" s="67">
        <f>ROUND(H49+(H49*S$4),0)</f>
        <v>0</v>
      </c>
      <c r="L49" s="60"/>
      <c r="M49" s="67">
        <f>SUM(M9+M19+M29+M39)</f>
        <v>17658</v>
      </c>
      <c r="N49" s="68">
        <f>ROUND(K49+(K49*S$4),0)</f>
        <v>0</v>
      </c>
      <c r="O49" s="54">
        <f>G49+H49+J49+K49+M49+N49</f>
        <v>35964</v>
      </c>
    </row>
    <row r="50" spans="1:15" x14ac:dyDescent="0.25">
      <c r="A50" s="143" t="s">
        <v>25</v>
      </c>
      <c r="B50" s="143"/>
      <c r="C50" s="143"/>
      <c r="D50" s="143"/>
      <c r="E50" s="143"/>
      <c r="F50" s="27"/>
      <c r="G50" s="69">
        <f>SUM(G10+G20+G30+G30)</f>
        <v>600</v>
      </c>
      <c r="H50" s="70">
        <v>0</v>
      </c>
      <c r="I50" s="107"/>
      <c r="J50" s="69">
        <f>SUM(J10+J20+J30+J40)</f>
        <v>4950</v>
      </c>
      <c r="K50" s="70">
        <f>ROUND(H50+(H50*S$4),0)</f>
        <v>0</v>
      </c>
      <c r="L50" s="61"/>
      <c r="M50" s="69">
        <f>SUM(M10+M20+M30+M40)</f>
        <v>4950</v>
      </c>
      <c r="N50" s="70">
        <f>ROUND(K50+(K50*S$4),0)</f>
        <v>0</v>
      </c>
      <c r="O50" s="55">
        <f>G50+H50+J50+K50+M50+N50</f>
        <v>10500</v>
      </c>
    </row>
    <row r="51" spans="1:15" x14ac:dyDescent="0.25">
      <c r="A51" s="144" t="s">
        <v>26</v>
      </c>
      <c r="B51" s="144"/>
      <c r="C51" s="144"/>
      <c r="D51" s="144"/>
      <c r="E51" s="144"/>
      <c r="F51" s="27"/>
      <c r="G51" s="67">
        <f>SUM(G47:G50)</f>
        <v>7104</v>
      </c>
      <c r="H51" s="68">
        <f>SUM(H47:H50)</f>
        <v>0</v>
      </c>
      <c r="I51" s="107"/>
      <c r="J51" s="67">
        <f>SUM(J47:J50)</f>
        <v>70914</v>
      </c>
      <c r="K51" s="67">
        <f>SUM(K47:K50)</f>
        <v>0</v>
      </c>
      <c r="L51" s="60"/>
      <c r="M51" s="67">
        <f>SUM(M47:M50)</f>
        <v>70914</v>
      </c>
      <c r="N51" s="70">
        <f>SUM(N47:N50)</f>
        <v>0</v>
      </c>
      <c r="O51" s="54"/>
    </row>
    <row r="52" spans="1:15" x14ac:dyDescent="0.25">
      <c r="A52" s="142" t="s">
        <v>27</v>
      </c>
      <c r="B52" s="142"/>
      <c r="C52" s="142"/>
      <c r="D52" s="142"/>
      <c r="E52" s="142"/>
      <c r="F52" s="28"/>
      <c r="G52" s="147">
        <f>SUM(G12+G22+G32+G42)</f>
        <v>6954</v>
      </c>
      <c r="H52" s="148"/>
      <c r="I52" s="125"/>
      <c r="J52" s="147">
        <f>SUM(J12+J22+J32+J42)</f>
        <v>70914</v>
      </c>
      <c r="K52" s="148"/>
      <c r="L52" s="104"/>
      <c r="M52" s="147">
        <f>SUM(M12+M22+M32+M42)</f>
        <v>70914</v>
      </c>
      <c r="N52" s="148"/>
      <c r="O52" s="33">
        <f>G52+J52+M52</f>
        <v>148782</v>
      </c>
    </row>
  </sheetData>
  <mergeCells count="70">
    <mergeCell ref="A7:E7"/>
    <mergeCell ref="A5:E5"/>
    <mergeCell ref="F5:H5"/>
    <mergeCell ref="I5:K5"/>
    <mergeCell ref="L5:N5"/>
    <mergeCell ref="A6:E6"/>
    <mergeCell ref="A8:E8"/>
    <mergeCell ref="A9:E9"/>
    <mergeCell ref="A10:E10"/>
    <mergeCell ref="A11:E11"/>
    <mergeCell ref="A12:E12"/>
    <mergeCell ref="A21:E21"/>
    <mergeCell ref="J12:K12"/>
    <mergeCell ref="M12:N12"/>
    <mergeCell ref="A15:E15"/>
    <mergeCell ref="F15:H15"/>
    <mergeCell ref="I15:K15"/>
    <mergeCell ref="L15:N15"/>
    <mergeCell ref="G12:H12"/>
    <mergeCell ref="A16:E16"/>
    <mergeCell ref="A17:E17"/>
    <mergeCell ref="A18:E18"/>
    <mergeCell ref="A19:E19"/>
    <mergeCell ref="A20:E20"/>
    <mergeCell ref="A31:E31"/>
    <mergeCell ref="A22:E22"/>
    <mergeCell ref="G22:H22"/>
    <mergeCell ref="J22:K22"/>
    <mergeCell ref="M22:N22"/>
    <mergeCell ref="A25:E25"/>
    <mergeCell ref="F25:H25"/>
    <mergeCell ref="I25:K25"/>
    <mergeCell ref="L25:N25"/>
    <mergeCell ref="A26:E26"/>
    <mergeCell ref="A27:E27"/>
    <mergeCell ref="A28:E28"/>
    <mergeCell ref="A29:E29"/>
    <mergeCell ref="A30:E30"/>
    <mergeCell ref="A41:E41"/>
    <mergeCell ref="A32:E32"/>
    <mergeCell ref="G32:H32"/>
    <mergeCell ref="J32:K32"/>
    <mergeCell ref="M32:N32"/>
    <mergeCell ref="A35:E35"/>
    <mergeCell ref="F35:H35"/>
    <mergeCell ref="I35:K35"/>
    <mergeCell ref="L35:N35"/>
    <mergeCell ref="A36:E36"/>
    <mergeCell ref="A37:E37"/>
    <mergeCell ref="A38:E38"/>
    <mergeCell ref="A39:E39"/>
    <mergeCell ref="A40:E40"/>
    <mergeCell ref="A42:E42"/>
    <mergeCell ref="G42:H42"/>
    <mergeCell ref="J42:K42"/>
    <mergeCell ref="M42:N42"/>
    <mergeCell ref="A45:E45"/>
    <mergeCell ref="F45:H45"/>
    <mergeCell ref="I45:K45"/>
    <mergeCell ref="L45:N45"/>
    <mergeCell ref="A52:E52"/>
    <mergeCell ref="G52:H52"/>
    <mergeCell ref="J52:K52"/>
    <mergeCell ref="M52:N52"/>
    <mergeCell ref="A46:E46"/>
    <mergeCell ref="A47:E47"/>
    <mergeCell ref="A48:E48"/>
    <mergeCell ref="A49:E49"/>
    <mergeCell ref="A50:E50"/>
    <mergeCell ref="A51:E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Ortiz, Erica V - (ericaortiz)</dc:creator>
  <cp:lastModifiedBy>Pierson, Jennifer M - (jpierson)</cp:lastModifiedBy>
  <cp:revision>2</cp:revision>
  <cp:lastPrinted>2017-03-14T19:18:03Z</cp:lastPrinted>
  <dcterms:created xsi:type="dcterms:W3CDTF">2016-03-24T23:01:50Z</dcterms:created>
  <dcterms:modified xsi:type="dcterms:W3CDTF">2017-03-14T19:22:34Z</dcterms:modified>
</cp:coreProperties>
</file>